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ctda\OneDrive\Documentos\SEMESTRE 2022-1\MODELOS LINEALES\ANOVA por bloques\"/>
    </mc:Choice>
  </mc:AlternateContent>
  <xr:revisionPtr revIDLastSave="0" documentId="13_ncr:1_{90FAB687-C668-4AD6-A0B3-EEB7D0E684DE}" xr6:coauthVersionLast="47" xr6:coauthVersionMax="47" xr10:uidLastSave="{00000000-0000-0000-0000-000000000000}"/>
  <bookViews>
    <workbookView xWindow="3040" yWindow="3040" windowWidth="28800" windowHeight="15360" firstSheet="2" activeTab="4" xr2:uid="{C698C69A-D100-4948-B8DC-58590FD5B3EC}"/>
  </bookViews>
  <sheets>
    <sheet name="Teoria" sheetId="2" r:id="rId1"/>
    <sheet name="Dos factores (Sin)" sheetId="1" r:id="rId2"/>
    <sheet name="Scheffe (PROBAR DIF 2-2)" sheetId="3" r:id="rId3"/>
    <sheet name="E2" sheetId="4" r:id="rId4"/>
    <sheet name="Un Factor" sheetId="5" r:id="rId5"/>
    <sheet name="E3 (LEVENE)" sheetId="6" r:id="rId6"/>
    <sheet name="E3 (Tukey)" sheetId="7" r:id="rId7"/>
    <sheet name="E2_1Factor" sheetId="8" r:id="rId8"/>
    <sheet name="E2_1" sheetId="9" r:id="rId9"/>
    <sheet name="E2_1Levene" sheetId="11" r:id="rId10"/>
    <sheet name="Dos Factores (con)" sheetId="12" r:id="rId11"/>
    <sheet name="E1_2factores con" sheetId="13" r:id="rId12"/>
    <sheet name="E1_2factores con levene" sheetId="14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95" i="5" l="1"/>
  <c r="F95" i="5"/>
  <c r="H95" i="5" s="1"/>
  <c r="G94" i="5"/>
  <c r="F94" i="5"/>
  <c r="H94" i="5" s="1"/>
  <c r="G93" i="5"/>
  <c r="F93" i="5"/>
  <c r="H93" i="5" s="1"/>
  <c r="H92" i="5"/>
  <c r="G92" i="5"/>
  <c r="F92" i="5"/>
  <c r="H91" i="5"/>
  <c r="G91" i="5"/>
  <c r="F91" i="5"/>
  <c r="G90" i="5"/>
  <c r="F90" i="5"/>
  <c r="H90" i="5" s="1"/>
  <c r="J41" i="3"/>
  <c r="S66" i="13" l="1"/>
  <c r="S67" i="13"/>
  <c r="S65" i="13"/>
  <c r="R70" i="13"/>
  <c r="R68" i="13"/>
  <c r="R67" i="13"/>
  <c r="R66" i="13"/>
  <c r="R65" i="13"/>
  <c r="Q67" i="13"/>
  <c r="Q66" i="13"/>
  <c r="Q65" i="13"/>
  <c r="G68" i="13"/>
  <c r="G67" i="13"/>
  <c r="G65" i="13"/>
  <c r="H65" i="13"/>
  <c r="I65" i="13"/>
  <c r="H64" i="13"/>
  <c r="I64" i="13"/>
  <c r="G64" i="13"/>
  <c r="G61" i="13"/>
  <c r="H61" i="13"/>
  <c r="I61" i="13"/>
  <c r="H60" i="13"/>
  <c r="I60" i="13"/>
  <c r="G60" i="13"/>
  <c r="E62" i="13"/>
  <c r="D62" i="13"/>
  <c r="C62" i="13"/>
  <c r="B62" i="13"/>
  <c r="E61" i="13"/>
  <c r="E60" i="13"/>
  <c r="Q50" i="13"/>
  <c r="R50" i="13"/>
  <c r="S50" i="13"/>
  <c r="Q51" i="13"/>
  <c r="R51" i="13"/>
  <c r="S51" i="13"/>
  <c r="Q52" i="13"/>
  <c r="R52" i="13"/>
  <c r="S52" i="13"/>
  <c r="R49" i="13"/>
  <c r="S49" i="13"/>
  <c r="Q49" i="13"/>
  <c r="Q45" i="13"/>
  <c r="R45" i="13"/>
  <c r="S45" i="13"/>
  <c r="Q46" i="13"/>
  <c r="R46" i="13"/>
  <c r="S46" i="13"/>
  <c r="Q47" i="13"/>
  <c r="R47" i="13"/>
  <c r="S47" i="13"/>
  <c r="R44" i="13"/>
  <c r="S44" i="13"/>
  <c r="Q44" i="13"/>
  <c r="U53" i="13" s="1"/>
  <c r="L45" i="13"/>
  <c r="K47" i="13"/>
  <c r="L44" i="13"/>
  <c r="F50" i="13"/>
  <c r="K50" i="13" s="1"/>
  <c r="G50" i="13"/>
  <c r="L50" i="13" s="1"/>
  <c r="H50" i="13"/>
  <c r="M50" i="13" s="1"/>
  <c r="F51" i="13"/>
  <c r="K51" i="13" s="1"/>
  <c r="G51" i="13"/>
  <c r="L51" i="13" s="1"/>
  <c r="H51" i="13"/>
  <c r="M51" i="13" s="1"/>
  <c r="F52" i="13"/>
  <c r="K52" i="13" s="1"/>
  <c r="G52" i="13"/>
  <c r="L52" i="13" s="1"/>
  <c r="H52" i="13"/>
  <c r="M52" i="13" s="1"/>
  <c r="G49" i="13"/>
  <c r="L49" i="13" s="1"/>
  <c r="H49" i="13"/>
  <c r="M49" i="13" s="1"/>
  <c r="F49" i="13"/>
  <c r="K49" i="13" s="1"/>
  <c r="G44" i="13"/>
  <c r="H44" i="13"/>
  <c r="M44" i="13" s="1"/>
  <c r="G45" i="13"/>
  <c r="H45" i="13"/>
  <c r="M45" i="13" s="1"/>
  <c r="G46" i="13"/>
  <c r="L46" i="13" s="1"/>
  <c r="H46" i="13"/>
  <c r="M46" i="13" s="1"/>
  <c r="G47" i="13"/>
  <c r="L47" i="13" s="1"/>
  <c r="H47" i="13"/>
  <c r="M47" i="13" s="1"/>
  <c r="F45" i="13"/>
  <c r="K45" i="13" s="1"/>
  <c r="F46" i="13"/>
  <c r="K46" i="13" s="1"/>
  <c r="F47" i="13"/>
  <c r="F44" i="13"/>
  <c r="K44" i="13" s="1"/>
  <c r="Q18" i="13"/>
  <c r="O53" i="13" l="1"/>
  <c r="Q68" i="13" s="1"/>
  <c r="S68" i="13" s="1"/>
  <c r="J11" i="13"/>
  <c r="K11" i="13"/>
  <c r="I11" i="13"/>
  <c r="O15" i="13" s="1"/>
  <c r="O16" i="13" s="1"/>
  <c r="L10" i="13"/>
  <c r="L9" i="13"/>
  <c r="L11" i="13" s="1"/>
  <c r="P15" i="13" s="1"/>
  <c r="P16" i="13" s="1"/>
  <c r="B26" i="13"/>
  <c r="E26" i="13" s="1"/>
  <c r="D24" i="13"/>
  <c r="D26" i="13" s="1"/>
  <c r="C24" i="13"/>
  <c r="C26" i="13" s="1"/>
  <c r="B24" i="13"/>
  <c r="C19" i="13"/>
  <c r="D19" i="13"/>
  <c r="B19" i="13"/>
  <c r="E19" i="13" s="1"/>
  <c r="H32" i="11"/>
  <c r="H34" i="11" s="1"/>
  <c r="D30" i="11"/>
  <c r="G28" i="11" s="1"/>
  <c r="H25" i="11"/>
  <c r="H26" i="11"/>
  <c r="H27" i="11"/>
  <c r="H28" i="11"/>
  <c r="H24" i="11"/>
  <c r="H20" i="11"/>
  <c r="H21" i="11"/>
  <c r="H22" i="11"/>
  <c r="H23" i="11"/>
  <c r="H19" i="11"/>
  <c r="H15" i="11"/>
  <c r="H16" i="11"/>
  <c r="H17" i="11"/>
  <c r="H18" i="11"/>
  <c r="H14" i="11"/>
  <c r="H10" i="11"/>
  <c r="H11" i="11"/>
  <c r="H12" i="11"/>
  <c r="H13" i="11"/>
  <c r="H9" i="11"/>
  <c r="H5" i="11"/>
  <c r="H6" i="11"/>
  <c r="H7" i="11"/>
  <c r="H8" i="11"/>
  <c r="H4" i="11"/>
  <c r="G8" i="11"/>
  <c r="B30" i="11"/>
  <c r="E28" i="11"/>
  <c r="E23" i="11"/>
  <c r="E18" i="11"/>
  <c r="E13" i="11"/>
  <c r="E8" i="11"/>
  <c r="D21" i="11"/>
  <c r="D17" i="11"/>
  <c r="D18" i="11"/>
  <c r="D14" i="11"/>
  <c r="D10" i="11"/>
  <c r="D7" i="11"/>
  <c r="D8" i="11"/>
  <c r="C28" i="11"/>
  <c r="D25" i="11" s="1"/>
  <c r="C23" i="11"/>
  <c r="D23" i="11" s="1"/>
  <c r="C18" i="11"/>
  <c r="D15" i="11" s="1"/>
  <c r="C13" i="11"/>
  <c r="D11" i="11" s="1"/>
  <c r="C8" i="11"/>
  <c r="D4" i="11" s="1"/>
  <c r="I53" i="9"/>
  <c r="I54" i="9"/>
  <c r="I55" i="9"/>
  <c r="I56" i="9"/>
  <c r="I57" i="9"/>
  <c r="I58" i="9"/>
  <c r="I59" i="9"/>
  <c r="I60" i="9"/>
  <c r="I61" i="9"/>
  <c r="I52" i="9"/>
  <c r="G61" i="9"/>
  <c r="G53" i="9"/>
  <c r="H53" i="9"/>
  <c r="G54" i="9"/>
  <c r="H54" i="9"/>
  <c r="G55" i="9"/>
  <c r="H55" i="9"/>
  <c r="G56" i="9"/>
  <c r="H56" i="9"/>
  <c r="G57" i="9"/>
  <c r="H57" i="9"/>
  <c r="G58" i="9"/>
  <c r="H58" i="9"/>
  <c r="G59" i="9"/>
  <c r="H59" i="9"/>
  <c r="G60" i="9"/>
  <c r="H60" i="9"/>
  <c r="H61" i="9"/>
  <c r="H52" i="9"/>
  <c r="G52" i="9"/>
  <c r="F53" i="9"/>
  <c r="F54" i="9"/>
  <c r="F55" i="9"/>
  <c r="F56" i="9"/>
  <c r="F57" i="9"/>
  <c r="F58" i="9"/>
  <c r="F59" i="9"/>
  <c r="F60" i="9"/>
  <c r="F61" i="9"/>
  <c r="F52" i="9"/>
  <c r="J39" i="9"/>
  <c r="K39" i="9" s="1"/>
  <c r="J40" i="9"/>
  <c r="K40" i="9" s="1"/>
  <c r="J41" i="9"/>
  <c r="K41" i="9" s="1"/>
  <c r="J42" i="9"/>
  <c r="K42" i="9" s="1"/>
  <c r="J43" i="9"/>
  <c r="K43" i="9" s="1"/>
  <c r="J44" i="9"/>
  <c r="J45" i="9"/>
  <c r="K45" i="9" s="1"/>
  <c r="J46" i="9"/>
  <c r="K46" i="9" s="1"/>
  <c r="J47" i="9"/>
  <c r="K47" i="9" s="1"/>
  <c r="J38" i="9"/>
  <c r="K38" i="9" s="1"/>
  <c r="J79" i="5"/>
  <c r="J80" i="5"/>
  <c r="J81" i="5"/>
  <c r="J82" i="5"/>
  <c r="J83" i="5"/>
  <c r="J78" i="5"/>
  <c r="K44" i="9"/>
  <c r="I39" i="9"/>
  <c r="I40" i="9"/>
  <c r="I41" i="9"/>
  <c r="I42" i="9"/>
  <c r="I43" i="9"/>
  <c r="I44" i="9"/>
  <c r="I45" i="9"/>
  <c r="I46" i="9"/>
  <c r="I47" i="9"/>
  <c r="I38" i="9"/>
  <c r="H39" i="9"/>
  <c r="H40" i="9"/>
  <c r="H41" i="9"/>
  <c r="H42" i="9"/>
  <c r="H43" i="9"/>
  <c r="H44" i="9"/>
  <c r="H45" i="9"/>
  <c r="H46" i="9"/>
  <c r="H47" i="9"/>
  <c r="H38" i="9"/>
  <c r="E39" i="9"/>
  <c r="E40" i="9"/>
  <c r="E41" i="9"/>
  <c r="E42" i="9"/>
  <c r="E43" i="9"/>
  <c r="E44" i="9"/>
  <c r="E45" i="9"/>
  <c r="E46" i="9"/>
  <c r="E47" i="9"/>
  <c r="E38" i="9"/>
  <c r="D38" i="9"/>
  <c r="D39" i="9"/>
  <c r="D40" i="9"/>
  <c r="D41" i="9"/>
  <c r="D42" i="9"/>
  <c r="D43" i="9"/>
  <c r="D44" i="9"/>
  <c r="D45" i="9"/>
  <c r="D46" i="9"/>
  <c r="D47" i="9"/>
  <c r="C39" i="9"/>
  <c r="C40" i="9"/>
  <c r="C41" i="9"/>
  <c r="C42" i="9"/>
  <c r="C43" i="9"/>
  <c r="C44" i="9"/>
  <c r="C45" i="9"/>
  <c r="C46" i="9"/>
  <c r="C47" i="9"/>
  <c r="C38" i="9"/>
  <c r="E30" i="9"/>
  <c r="Q70" i="13" l="1"/>
  <c r="Q72" i="13" s="1"/>
  <c r="T66" i="13"/>
  <c r="U66" i="13" s="1"/>
  <c r="T65" i="13"/>
  <c r="U65" i="13" s="1"/>
  <c r="T67" i="13"/>
  <c r="U67" i="13" s="1"/>
  <c r="Q15" i="13"/>
  <c r="Q16" i="13" s="1"/>
  <c r="R16" i="13"/>
  <c r="N10" i="13"/>
  <c r="O10" i="13" s="1"/>
  <c r="N9" i="13"/>
  <c r="O9" i="13" s="1"/>
  <c r="O11" i="13" s="1"/>
  <c r="P9" i="13" s="1"/>
  <c r="E24" i="13"/>
  <c r="G13" i="11"/>
  <c r="G30" i="11" s="1"/>
  <c r="G18" i="11"/>
  <c r="G23" i="11"/>
  <c r="H30" i="11"/>
  <c r="D22" i="11"/>
  <c r="D20" i="11"/>
  <c r="D24" i="11"/>
  <c r="D28" i="11"/>
  <c r="D27" i="11"/>
  <c r="D26" i="11"/>
  <c r="D6" i="11"/>
  <c r="D5" i="11"/>
  <c r="D9" i="11"/>
  <c r="D16" i="11"/>
  <c r="D13" i="11"/>
  <c r="D12" i="11"/>
  <c r="D19" i="11"/>
  <c r="I9" i="7" l="1"/>
  <c r="I10" i="7"/>
  <c r="I11" i="7"/>
  <c r="I12" i="7"/>
  <c r="I13" i="7"/>
  <c r="I8" i="7"/>
  <c r="H9" i="7"/>
  <c r="H10" i="7"/>
  <c r="H11" i="7"/>
  <c r="H12" i="7"/>
  <c r="H13" i="7"/>
  <c r="H8" i="7"/>
  <c r="C9" i="7"/>
  <c r="E9" i="7" s="1"/>
  <c r="D9" i="7"/>
  <c r="C10" i="7"/>
  <c r="D10" i="7"/>
  <c r="E10" i="7" s="1"/>
  <c r="C11" i="7"/>
  <c r="D11" i="7"/>
  <c r="E11" i="7" s="1"/>
  <c r="C12" i="7"/>
  <c r="D12" i="7"/>
  <c r="C13" i="7"/>
  <c r="E13" i="7" s="1"/>
  <c r="D13" i="7"/>
  <c r="D8" i="7"/>
  <c r="C8" i="7"/>
  <c r="K78" i="5"/>
  <c r="K83" i="5"/>
  <c r="K79" i="5"/>
  <c r="K80" i="5"/>
  <c r="K81" i="5"/>
  <c r="K82" i="5"/>
  <c r="I79" i="5"/>
  <c r="I80" i="5"/>
  <c r="I81" i="5"/>
  <c r="I82" i="5"/>
  <c r="I83" i="5"/>
  <c r="I78" i="5"/>
  <c r="I49" i="4"/>
  <c r="H79" i="5"/>
  <c r="H80" i="5"/>
  <c r="H81" i="5"/>
  <c r="H82" i="5"/>
  <c r="H83" i="5"/>
  <c r="H78" i="5"/>
  <c r="D83" i="5"/>
  <c r="D82" i="5"/>
  <c r="D81" i="5"/>
  <c r="D80" i="5"/>
  <c r="D79" i="5"/>
  <c r="D78" i="5"/>
  <c r="C83" i="5"/>
  <c r="E83" i="5" s="1"/>
  <c r="C82" i="5"/>
  <c r="E82" i="5" s="1"/>
  <c r="C81" i="5"/>
  <c r="E81" i="5" s="1"/>
  <c r="C80" i="5"/>
  <c r="E80" i="5" s="1"/>
  <c r="C79" i="5"/>
  <c r="E79" i="5" s="1"/>
  <c r="C78" i="5"/>
  <c r="E78" i="5" s="1"/>
  <c r="F72" i="5"/>
  <c r="G43" i="5"/>
  <c r="H21" i="6"/>
  <c r="H22" i="6"/>
  <c r="H23" i="6"/>
  <c r="H24" i="6"/>
  <c r="H20" i="6"/>
  <c r="H17" i="6"/>
  <c r="H18" i="6"/>
  <c r="H19" i="6"/>
  <c r="H16" i="6"/>
  <c r="H12" i="6"/>
  <c r="H13" i="6"/>
  <c r="H14" i="6"/>
  <c r="H15" i="6"/>
  <c r="H11" i="6"/>
  <c r="D28" i="6"/>
  <c r="H7" i="6"/>
  <c r="H8" i="6"/>
  <c r="H9" i="6"/>
  <c r="H10" i="6"/>
  <c r="H6" i="6"/>
  <c r="G24" i="6"/>
  <c r="G19" i="6"/>
  <c r="G15" i="6"/>
  <c r="G10" i="6"/>
  <c r="G26" i="6" s="1"/>
  <c r="F26" i="6"/>
  <c r="E26" i="6"/>
  <c r="E24" i="6"/>
  <c r="E19" i="6"/>
  <c r="E15" i="6"/>
  <c r="E10" i="6"/>
  <c r="B26" i="6"/>
  <c r="D26" i="6"/>
  <c r="D21" i="6"/>
  <c r="D22" i="6"/>
  <c r="D23" i="6"/>
  <c r="D24" i="6"/>
  <c r="D20" i="6"/>
  <c r="D17" i="6"/>
  <c r="D18" i="6"/>
  <c r="D19" i="6"/>
  <c r="D16" i="6"/>
  <c r="D12" i="6"/>
  <c r="D13" i="6"/>
  <c r="D14" i="6"/>
  <c r="D15" i="6"/>
  <c r="D11" i="6"/>
  <c r="D7" i="6"/>
  <c r="D8" i="6"/>
  <c r="D9" i="6"/>
  <c r="D10" i="6"/>
  <c r="D6" i="6"/>
  <c r="C24" i="6"/>
  <c r="C19" i="6"/>
  <c r="C15" i="6"/>
  <c r="C10" i="6"/>
  <c r="E12" i="7" l="1"/>
  <c r="E8" i="7"/>
  <c r="H28" i="6"/>
  <c r="H30" i="6" s="1"/>
  <c r="H26" i="6"/>
  <c r="E43" i="5" l="1"/>
  <c r="F43" i="5" s="1"/>
  <c r="D44" i="5"/>
  <c r="D43" i="5"/>
  <c r="C45" i="5"/>
  <c r="C44" i="5"/>
  <c r="C43" i="5"/>
  <c r="B45" i="5"/>
  <c r="B44" i="5"/>
  <c r="B43" i="5"/>
  <c r="L37" i="5"/>
  <c r="H33" i="5"/>
  <c r="I33" i="5"/>
  <c r="J33" i="5"/>
  <c r="H34" i="5"/>
  <c r="I34" i="5"/>
  <c r="J34" i="5"/>
  <c r="H35" i="5"/>
  <c r="I35" i="5"/>
  <c r="J35" i="5"/>
  <c r="H36" i="5"/>
  <c r="I36" i="5"/>
  <c r="J36" i="5"/>
  <c r="H37" i="5"/>
  <c r="J37" i="5"/>
  <c r="G37" i="5"/>
  <c r="G34" i="5"/>
  <c r="G35" i="5"/>
  <c r="G36" i="5"/>
  <c r="G33" i="5"/>
  <c r="L30" i="5"/>
  <c r="G27" i="5"/>
  <c r="H27" i="5"/>
  <c r="I27" i="5"/>
  <c r="J27" i="5"/>
  <c r="G28" i="5"/>
  <c r="H28" i="5"/>
  <c r="I28" i="5"/>
  <c r="J28" i="5"/>
  <c r="G29" i="5"/>
  <c r="H29" i="5"/>
  <c r="I29" i="5"/>
  <c r="J29" i="5"/>
  <c r="G30" i="5"/>
  <c r="H30" i="5"/>
  <c r="J30" i="5"/>
  <c r="H26" i="5"/>
  <c r="I26" i="5"/>
  <c r="J26" i="5"/>
  <c r="G26" i="5"/>
  <c r="L23" i="5"/>
  <c r="J23" i="5"/>
  <c r="I23" i="5"/>
  <c r="H23" i="5"/>
  <c r="G23" i="5"/>
  <c r="J22" i="5"/>
  <c r="I22" i="5"/>
  <c r="H22" i="5"/>
  <c r="G22" i="5"/>
  <c r="G20" i="5"/>
  <c r="J18" i="5"/>
  <c r="I18" i="5"/>
  <c r="H18" i="5"/>
  <c r="G18" i="5"/>
  <c r="J17" i="5"/>
  <c r="I17" i="5"/>
  <c r="H17" i="5"/>
  <c r="G17" i="5"/>
  <c r="H50" i="4"/>
  <c r="H51" i="4"/>
  <c r="H52" i="4"/>
  <c r="H53" i="4"/>
  <c r="H54" i="4"/>
  <c r="H55" i="4"/>
  <c r="H56" i="4"/>
  <c r="H57" i="4"/>
  <c r="H58" i="4"/>
  <c r="H59" i="4"/>
  <c r="H60" i="4"/>
  <c r="H49" i="4"/>
  <c r="H75" i="4"/>
  <c r="H72" i="4"/>
  <c r="H67" i="4"/>
  <c r="F70" i="4"/>
  <c r="H70" i="4" s="1"/>
  <c r="G70" i="4"/>
  <c r="F71" i="4"/>
  <c r="H71" i="4" s="1"/>
  <c r="G71" i="4"/>
  <c r="F72" i="4"/>
  <c r="G72" i="4"/>
  <c r="F73" i="4"/>
  <c r="H73" i="4" s="1"/>
  <c r="G73" i="4"/>
  <c r="F74" i="4"/>
  <c r="H74" i="4" s="1"/>
  <c r="G74" i="4"/>
  <c r="F75" i="4"/>
  <c r="G75" i="4"/>
  <c r="G69" i="4"/>
  <c r="F69" i="4"/>
  <c r="H69" i="4" s="1"/>
  <c r="G68" i="4"/>
  <c r="F68" i="4"/>
  <c r="H68" i="4" s="1"/>
  <c r="G67" i="4"/>
  <c r="F67" i="4"/>
  <c r="G66" i="4"/>
  <c r="F66" i="4"/>
  <c r="H66" i="4" s="1"/>
  <c r="G65" i="4"/>
  <c r="H65" i="4" s="1"/>
  <c r="F65" i="4"/>
  <c r="G64" i="4"/>
  <c r="F64" i="4"/>
  <c r="H64" i="4" s="1"/>
  <c r="J50" i="4"/>
  <c r="J51" i="4"/>
  <c r="J52" i="4"/>
  <c r="J53" i="4"/>
  <c r="J54" i="4"/>
  <c r="J55" i="4"/>
  <c r="J56" i="4"/>
  <c r="J57" i="4"/>
  <c r="J58" i="4"/>
  <c r="J59" i="4"/>
  <c r="J60" i="4"/>
  <c r="J49" i="4"/>
  <c r="I50" i="4"/>
  <c r="K50" i="4" s="1"/>
  <c r="I51" i="4"/>
  <c r="K51" i="4" s="1"/>
  <c r="I52" i="4"/>
  <c r="K52" i="4" s="1"/>
  <c r="I53" i="4"/>
  <c r="K53" i="4" s="1"/>
  <c r="I54" i="4"/>
  <c r="K54" i="4" s="1"/>
  <c r="I55" i="4"/>
  <c r="I56" i="4"/>
  <c r="K56" i="4" s="1"/>
  <c r="I57" i="4"/>
  <c r="I58" i="4"/>
  <c r="I59" i="4"/>
  <c r="I60" i="4"/>
  <c r="E60" i="4"/>
  <c r="E59" i="4"/>
  <c r="E58" i="4"/>
  <c r="E57" i="4"/>
  <c r="E56" i="4"/>
  <c r="E55" i="4"/>
  <c r="E54" i="4"/>
  <c r="E53" i="4"/>
  <c r="E52" i="4"/>
  <c r="E51" i="4"/>
  <c r="E50" i="4"/>
  <c r="E49" i="4"/>
  <c r="D60" i="4"/>
  <c r="D59" i="4"/>
  <c r="D58" i="4"/>
  <c r="D57" i="4"/>
  <c r="D56" i="4"/>
  <c r="D55" i="4"/>
  <c r="D54" i="4"/>
  <c r="D53" i="4"/>
  <c r="D52" i="4"/>
  <c r="D51" i="4"/>
  <c r="D50" i="4"/>
  <c r="D49" i="4"/>
  <c r="C50" i="4"/>
  <c r="C51" i="4"/>
  <c r="C52" i="4"/>
  <c r="C53" i="4"/>
  <c r="C54" i="4"/>
  <c r="C55" i="4"/>
  <c r="C56" i="4"/>
  <c r="C57" i="4"/>
  <c r="C58" i="4"/>
  <c r="C59" i="4"/>
  <c r="C60" i="4"/>
  <c r="C49" i="4"/>
  <c r="B38" i="4"/>
  <c r="B39" i="4"/>
  <c r="B37" i="4"/>
  <c r="K57" i="4" l="1"/>
  <c r="K55" i="4"/>
  <c r="K49" i="4"/>
  <c r="K60" i="4"/>
  <c r="K59" i="4"/>
  <c r="K58" i="4"/>
  <c r="H66" i="3" l="1"/>
  <c r="H67" i="3"/>
  <c r="H68" i="3"/>
  <c r="H69" i="3"/>
  <c r="H70" i="3"/>
  <c r="H71" i="3"/>
  <c r="H72" i="3"/>
  <c r="H73" i="3"/>
  <c r="H74" i="3"/>
  <c r="H75" i="3"/>
  <c r="H76" i="3"/>
  <c r="H77" i="3"/>
  <c r="H78" i="3"/>
  <c r="H79" i="3"/>
  <c r="H80" i="3"/>
  <c r="H81" i="3"/>
  <c r="H82" i="3"/>
  <c r="H83" i="3"/>
  <c r="H84" i="3"/>
  <c r="H65" i="3"/>
  <c r="F66" i="3"/>
  <c r="G66" i="3"/>
  <c r="F67" i="3"/>
  <c r="G67" i="3"/>
  <c r="F68" i="3"/>
  <c r="G68" i="3"/>
  <c r="F69" i="3"/>
  <c r="G69" i="3"/>
  <c r="F70" i="3"/>
  <c r="G70" i="3"/>
  <c r="F71" i="3"/>
  <c r="G71" i="3"/>
  <c r="F72" i="3"/>
  <c r="G72" i="3"/>
  <c r="F73" i="3"/>
  <c r="G73" i="3"/>
  <c r="F74" i="3"/>
  <c r="G74" i="3"/>
  <c r="F75" i="3"/>
  <c r="G75" i="3"/>
  <c r="F76" i="3"/>
  <c r="G76" i="3"/>
  <c r="F77" i="3"/>
  <c r="G77" i="3"/>
  <c r="F78" i="3"/>
  <c r="G78" i="3"/>
  <c r="F79" i="3"/>
  <c r="G79" i="3"/>
  <c r="F80" i="3"/>
  <c r="G80" i="3"/>
  <c r="F81" i="3"/>
  <c r="G81" i="3"/>
  <c r="F82" i="3"/>
  <c r="G82" i="3"/>
  <c r="F83" i="3"/>
  <c r="G83" i="3"/>
  <c r="F84" i="3"/>
  <c r="G84" i="3"/>
  <c r="G65" i="3"/>
  <c r="F65" i="3"/>
  <c r="C43" i="3"/>
  <c r="E43" i="3" s="1"/>
  <c r="D43" i="3"/>
  <c r="J43" i="3"/>
  <c r="C44" i="3"/>
  <c r="D44" i="3"/>
  <c r="H44" i="3"/>
  <c r="J44" i="3"/>
  <c r="C45" i="3"/>
  <c r="E45" i="3" s="1"/>
  <c r="D45" i="3"/>
  <c r="J45" i="3"/>
  <c r="C46" i="3"/>
  <c r="D46" i="3"/>
  <c r="E46" i="3" s="1"/>
  <c r="I46" i="3" s="1"/>
  <c r="K46" i="3" s="1"/>
  <c r="H46" i="3"/>
  <c r="J46" i="3"/>
  <c r="C47" i="3"/>
  <c r="D47" i="3"/>
  <c r="H47" i="3"/>
  <c r="J47" i="3"/>
  <c r="C48" i="3"/>
  <c r="E48" i="3" s="1"/>
  <c r="D48" i="3"/>
  <c r="J48" i="3"/>
  <c r="C49" i="3"/>
  <c r="E49" i="3" s="1"/>
  <c r="I49" i="3" s="1"/>
  <c r="K49" i="3" s="1"/>
  <c r="D49" i="3"/>
  <c r="H49" i="3"/>
  <c r="J49" i="3"/>
  <c r="C50" i="3"/>
  <c r="E50" i="3" s="1"/>
  <c r="D50" i="3"/>
  <c r="H50" i="3"/>
  <c r="J50" i="3"/>
  <c r="C51" i="3"/>
  <c r="E51" i="3" s="1"/>
  <c r="I51" i="3" s="1"/>
  <c r="K51" i="3" s="1"/>
  <c r="D51" i="3"/>
  <c r="H51" i="3"/>
  <c r="J51" i="3"/>
  <c r="C52" i="3"/>
  <c r="D52" i="3"/>
  <c r="E52" i="3"/>
  <c r="H52" i="3"/>
  <c r="J52" i="3"/>
  <c r="C53" i="3"/>
  <c r="E53" i="3" s="1"/>
  <c r="D53" i="3"/>
  <c r="J53" i="3"/>
  <c r="C54" i="3"/>
  <c r="E54" i="3" s="1"/>
  <c r="I54" i="3" s="1"/>
  <c r="K54" i="3" s="1"/>
  <c r="D54" i="3"/>
  <c r="H54" i="3"/>
  <c r="J54" i="3"/>
  <c r="C55" i="3"/>
  <c r="D55" i="3"/>
  <c r="E55" i="3"/>
  <c r="I55" i="3" s="1"/>
  <c r="K55" i="3" s="1"/>
  <c r="H55" i="3"/>
  <c r="J55" i="3"/>
  <c r="C56" i="3"/>
  <c r="D56" i="3"/>
  <c r="E56" i="3"/>
  <c r="H56" i="3"/>
  <c r="I56" i="3"/>
  <c r="K56" i="3" s="1"/>
  <c r="J56" i="3"/>
  <c r="C57" i="3"/>
  <c r="E57" i="3" s="1"/>
  <c r="D57" i="3"/>
  <c r="H57" i="3"/>
  <c r="J57" i="3"/>
  <c r="C58" i="3"/>
  <c r="D58" i="3"/>
  <c r="H58" i="3"/>
  <c r="J58" i="3"/>
  <c r="C59" i="3"/>
  <c r="D59" i="3"/>
  <c r="E59" i="3"/>
  <c r="H59" i="3"/>
  <c r="J59" i="3"/>
  <c r="C60" i="3"/>
  <c r="E60" i="3" s="1"/>
  <c r="D60" i="3"/>
  <c r="J60" i="3"/>
  <c r="H42" i="3"/>
  <c r="J42" i="3"/>
  <c r="H41" i="3"/>
  <c r="D42" i="3"/>
  <c r="E42" i="3" s="1"/>
  <c r="I42" i="3" s="1"/>
  <c r="K42" i="3" s="1"/>
  <c r="C42" i="3"/>
  <c r="D41" i="3"/>
  <c r="C41" i="3"/>
  <c r="E41" i="3" s="1"/>
  <c r="F21" i="3"/>
  <c r="G21" i="3"/>
  <c r="F22" i="3"/>
  <c r="G22" i="3"/>
  <c r="F23" i="3"/>
  <c r="G23" i="3"/>
  <c r="F24" i="3"/>
  <c r="G24" i="3"/>
  <c r="F25" i="3"/>
  <c r="G25" i="3"/>
  <c r="G20" i="3"/>
  <c r="F20" i="3"/>
  <c r="J12" i="3"/>
  <c r="J13" i="3"/>
  <c r="J14" i="3"/>
  <c r="J15" i="3"/>
  <c r="J16" i="3"/>
  <c r="H12" i="3"/>
  <c r="H13" i="3"/>
  <c r="H14" i="3"/>
  <c r="H16" i="3"/>
  <c r="H11" i="3"/>
  <c r="D13" i="3"/>
  <c r="D14" i="3"/>
  <c r="D15" i="3"/>
  <c r="D16" i="3"/>
  <c r="D12" i="3"/>
  <c r="C13" i="3"/>
  <c r="C14" i="3"/>
  <c r="C15" i="3"/>
  <c r="C16" i="3"/>
  <c r="C12" i="3"/>
  <c r="E12" i="3" s="1"/>
  <c r="I12" i="3" s="1"/>
  <c r="K12" i="3" s="1"/>
  <c r="J11" i="3"/>
  <c r="D11" i="3"/>
  <c r="C11" i="3"/>
  <c r="B5" i="3"/>
  <c r="H48" i="3" s="1"/>
  <c r="C62" i="1"/>
  <c r="J4" i="1"/>
  <c r="C13" i="1"/>
  <c r="D31" i="1"/>
  <c r="D30" i="1"/>
  <c r="F9" i="1"/>
  <c r="B20" i="1" s="1"/>
  <c r="E7" i="1"/>
  <c r="E6" i="1"/>
  <c r="E5" i="1"/>
  <c r="E4" i="1"/>
  <c r="E3" i="1"/>
  <c r="C8" i="1"/>
  <c r="D8" i="1"/>
  <c r="B8" i="1"/>
  <c r="B10" i="1" s="1"/>
  <c r="I48" i="3" l="1"/>
  <c r="K48" i="3" s="1"/>
  <c r="I41" i="3"/>
  <c r="K41" i="3" s="1"/>
  <c r="E16" i="3"/>
  <c r="I16" i="3" s="1"/>
  <c r="K16" i="3" s="1"/>
  <c r="E58" i="3"/>
  <c r="I58" i="3" s="1"/>
  <c r="K58" i="3" s="1"/>
  <c r="E44" i="3"/>
  <c r="I44" i="3" s="1"/>
  <c r="K44" i="3" s="1"/>
  <c r="E14" i="3"/>
  <c r="I14" i="3" s="1"/>
  <c r="K14" i="3" s="1"/>
  <c r="E13" i="3"/>
  <c r="I13" i="3" s="1"/>
  <c r="K13" i="3" s="1"/>
  <c r="H15" i="3"/>
  <c r="H53" i="3"/>
  <c r="I53" i="3" s="1"/>
  <c r="K53" i="3" s="1"/>
  <c r="E47" i="3"/>
  <c r="I47" i="3" s="1"/>
  <c r="K47" i="3" s="1"/>
  <c r="H45" i="3"/>
  <c r="H43" i="3"/>
  <c r="I43" i="3" s="1"/>
  <c r="K43" i="3" s="1"/>
  <c r="E15" i="3"/>
  <c r="I52" i="3"/>
  <c r="K52" i="3" s="1"/>
  <c r="I59" i="3"/>
  <c r="K59" i="3" s="1"/>
  <c r="E11" i="3"/>
  <c r="H60" i="3"/>
  <c r="I60" i="3" s="1"/>
  <c r="K60" i="3" s="1"/>
  <c r="I57" i="3"/>
  <c r="K57" i="3" s="1"/>
  <c r="I50" i="3"/>
  <c r="K50" i="3" s="1"/>
  <c r="I45" i="3"/>
  <c r="K45" i="3" s="1"/>
  <c r="I11" i="3"/>
  <c r="K11" i="3" s="1"/>
  <c r="G7" i="1"/>
  <c r="G19" i="1"/>
  <c r="H20" i="1"/>
  <c r="C19" i="1"/>
  <c r="G5" i="1"/>
  <c r="D10" i="1"/>
  <c r="B21" i="1"/>
  <c r="H22" i="1"/>
  <c r="F20" i="1"/>
  <c r="C22" i="1"/>
  <c r="F23" i="1"/>
  <c r="C10" i="1"/>
  <c r="G22" i="1"/>
  <c r="G3" i="1"/>
  <c r="B19" i="1"/>
  <c r="F19" i="1"/>
  <c r="F22" i="1"/>
  <c r="G4" i="1"/>
  <c r="D19" i="1"/>
  <c r="H19" i="1"/>
  <c r="H21" i="1"/>
  <c r="G21" i="1"/>
  <c r="G6" i="1"/>
  <c r="D23" i="1"/>
  <c r="H23" i="1"/>
  <c r="F21" i="1"/>
  <c r="C23" i="1"/>
  <c r="G23" i="1"/>
  <c r="G20" i="1"/>
  <c r="D32" i="1"/>
  <c r="D34" i="1" s="1"/>
  <c r="B22" i="1"/>
  <c r="D21" i="1"/>
  <c r="C21" i="1"/>
  <c r="D20" i="1"/>
  <c r="C20" i="1"/>
  <c r="B23" i="1"/>
  <c r="D22" i="1"/>
  <c r="I15" i="3" l="1"/>
  <c r="K15" i="3" s="1"/>
  <c r="C12" i="1"/>
  <c r="C30" i="1" s="1"/>
  <c r="E30" i="1" s="1"/>
  <c r="J3" i="1"/>
  <c r="C31" i="1" s="1"/>
  <c r="E31" i="1" s="1"/>
  <c r="F25" i="1"/>
  <c r="C32" i="1" s="1"/>
  <c r="B25" i="1"/>
  <c r="C34" i="1" l="1"/>
  <c r="E32" i="1"/>
  <c r="F30" i="1" l="1"/>
  <c r="G30" i="1" s="1"/>
  <c r="F31" i="1"/>
  <c r="G31" i="1" s="1"/>
</calcChain>
</file>

<file path=xl/sharedStrings.xml><?xml version="1.0" encoding="utf-8"?>
<sst xmlns="http://schemas.openxmlformats.org/spreadsheetml/2006/main" count="670" uniqueCount="193">
  <si>
    <t>Bloques</t>
  </si>
  <si>
    <t>Tratamiento 1</t>
  </si>
  <si>
    <t>Tratamiento 2</t>
  </si>
  <si>
    <t>Promedio bloque</t>
  </si>
  <si>
    <t>Promedio Tratamiento</t>
  </si>
  <si>
    <t>Promedio Todos</t>
  </si>
  <si>
    <t>Entre bloques</t>
  </si>
  <si>
    <t>Entre tratamientos</t>
  </si>
  <si>
    <t>Total</t>
  </si>
  <si>
    <t>Fuente de variacion</t>
  </si>
  <si>
    <t>Suma de Cuadrados</t>
  </si>
  <si>
    <t>Grados de Libertad</t>
  </si>
  <si>
    <t>Cuadrados Medios</t>
  </si>
  <si>
    <t>F</t>
  </si>
  <si>
    <t>P value</t>
  </si>
  <si>
    <t>Tratamiento</t>
  </si>
  <si>
    <t>Residuales</t>
  </si>
  <si>
    <t>Anova: Two-Factor Without Replication</t>
  </si>
  <si>
    <t>SUMMARY</t>
  </si>
  <si>
    <t>Count</t>
  </si>
  <si>
    <t>Sum</t>
  </si>
  <si>
    <t>Average</t>
  </si>
  <si>
    <t>Variance</t>
  </si>
  <si>
    <t>Row 1</t>
  </si>
  <si>
    <t>Row 2</t>
  </si>
  <si>
    <t>Row 3</t>
  </si>
  <si>
    <t>Row 4</t>
  </si>
  <si>
    <t>Row 5</t>
  </si>
  <si>
    <t>Column 1</t>
  </si>
  <si>
    <t>Column 2</t>
  </si>
  <si>
    <t>Column 3</t>
  </si>
  <si>
    <t>ANOVA</t>
  </si>
  <si>
    <t>Source of Variation</t>
  </si>
  <si>
    <t>SS</t>
  </si>
  <si>
    <t>df</t>
  </si>
  <si>
    <t>MS</t>
  </si>
  <si>
    <t>P-value</t>
  </si>
  <si>
    <t>F crit</t>
  </si>
  <si>
    <t>Rows</t>
  </si>
  <si>
    <t>Columns</t>
  </si>
  <si>
    <t>Error</t>
  </si>
  <si>
    <t>LOS BLOQUES (MUESTRAS) DEBERIAN DE IR EN LAS COLUMNAS</t>
  </si>
  <si>
    <t>Tratamiento Control</t>
  </si>
  <si>
    <t>Tratamientos</t>
  </si>
  <si>
    <t>Suma</t>
  </si>
  <si>
    <t>Suma de cuadrados</t>
  </si>
  <si>
    <t>Suma de Cuadrados total</t>
  </si>
  <si>
    <t>Suma de Cuadrados de los errores</t>
  </si>
  <si>
    <t>R^2</t>
  </si>
  <si>
    <t>No son iguales</t>
  </si>
  <si>
    <t>Se rechaza H0</t>
  </si>
  <si>
    <t>CMR</t>
  </si>
  <si>
    <t>a</t>
  </si>
  <si>
    <t>tratamientos</t>
  </si>
  <si>
    <t>b</t>
  </si>
  <si>
    <t>bloques</t>
  </si>
  <si>
    <t>Grupo A</t>
  </si>
  <si>
    <t>Grupo B</t>
  </si>
  <si>
    <t>Media A</t>
  </si>
  <si>
    <t>Media B</t>
  </si>
  <si>
    <t>Dif Medias</t>
  </si>
  <si>
    <t>na</t>
  </si>
  <si>
    <t>nb</t>
  </si>
  <si>
    <t>EE Diferen</t>
  </si>
  <si>
    <t>control</t>
  </si>
  <si>
    <t>dieta 1</t>
  </si>
  <si>
    <t>dieta 2</t>
  </si>
  <si>
    <t>Estadística Sheffé</t>
  </si>
  <si>
    <t>tamaños de muestra</t>
  </si>
  <si>
    <t>Umblal de Sheffé</t>
  </si>
  <si>
    <t>Conclusión</t>
  </si>
  <si>
    <t>alfa</t>
  </si>
  <si>
    <t>EE diferen</t>
  </si>
  <si>
    <t>Umbral de Sheffé</t>
  </si>
  <si>
    <t>Limite Inf</t>
  </si>
  <si>
    <t>Limite Sup</t>
  </si>
  <si>
    <t>VARIANZAS IGUALES EN CADA UNO DE LOS REGISTROS</t>
  </si>
  <si>
    <t>Por bloques</t>
  </si>
  <si>
    <t>Bloque A</t>
  </si>
  <si>
    <t>Bloque B</t>
  </si>
  <si>
    <t>B1</t>
  </si>
  <si>
    <t>B2</t>
  </si>
  <si>
    <t>B3</t>
  </si>
  <si>
    <t>B4</t>
  </si>
  <si>
    <t>B5</t>
  </si>
  <si>
    <t>Por tratamiento</t>
  </si>
  <si>
    <t>Estadistica de Sheffé</t>
  </si>
  <si>
    <t>Agrostis Tenuis</t>
  </si>
  <si>
    <t>Agostis Canina</t>
  </si>
  <si>
    <t>Paspalum Notatum</t>
  </si>
  <si>
    <t>Paspalum Vaginatum</t>
  </si>
  <si>
    <t>Variedad de Césped</t>
  </si>
  <si>
    <t>Cuadrados medios de los residuales</t>
  </si>
  <si>
    <t>Umbral de Scheffé</t>
  </si>
  <si>
    <t xml:space="preserve">a </t>
  </si>
  <si>
    <t>Césped</t>
  </si>
  <si>
    <t xml:space="preserve">alpha </t>
  </si>
  <si>
    <t>POR VARIEDAD DE CÉSPED</t>
  </si>
  <si>
    <t>CÉSPED A</t>
  </si>
  <si>
    <t>CÉSPED B</t>
  </si>
  <si>
    <t>Dieta 1</t>
  </si>
  <si>
    <t>Dieta 2</t>
  </si>
  <si>
    <t>Dieta 3</t>
  </si>
  <si>
    <t>Dieta 4</t>
  </si>
  <si>
    <t>ni</t>
  </si>
  <si>
    <t>Media de grupo</t>
  </si>
  <si>
    <t>Desv est</t>
  </si>
  <si>
    <t>Media global</t>
  </si>
  <si>
    <t>Entre grupos</t>
  </si>
  <si>
    <t>Dentro del Grupo</t>
  </si>
  <si>
    <t>Dentro de Grupos</t>
  </si>
  <si>
    <t>Pvalor</t>
  </si>
  <si>
    <t>Anova: Single Factor</t>
  </si>
  <si>
    <t>Groups</t>
  </si>
  <si>
    <t>Between Groups</t>
  </si>
  <si>
    <t>Within Groups</t>
  </si>
  <si>
    <t>UN FACTOR</t>
  </si>
  <si>
    <t>PRUEBA DE LEVENE PARA HOMOGENEIDAD DE VARIANZAS</t>
  </si>
  <si>
    <t>Grupo</t>
  </si>
  <si>
    <t>Yij</t>
  </si>
  <si>
    <t>Yi barra</t>
  </si>
  <si>
    <t>Zij</t>
  </si>
  <si>
    <t>ni(Zi barra - Z barra)^2</t>
  </si>
  <si>
    <t>Zi barra</t>
  </si>
  <si>
    <t>(Zij barra - Zi. barra)^2</t>
  </si>
  <si>
    <t>W</t>
  </si>
  <si>
    <t>n</t>
  </si>
  <si>
    <t>k</t>
  </si>
  <si>
    <t>Significancia</t>
  </si>
  <si>
    <t xml:space="preserve"> </t>
  </si>
  <si>
    <t>F critica</t>
  </si>
  <si>
    <t>PRUEBAS DE COMPARACIÓN MÚLTIPLE DE DIETAS MEDIANTE SHEFFEÉ</t>
  </si>
  <si>
    <t>Dieta A</t>
  </si>
  <si>
    <t>Dieta B</t>
  </si>
  <si>
    <t>Na</t>
  </si>
  <si>
    <t>Nb</t>
  </si>
  <si>
    <t>Estadistica Scheffé</t>
  </si>
  <si>
    <t>Umbral</t>
  </si>
  <si>
    <t>Conclusion</t>
  </si>
  <si>
    <t>alpha</t>
  </si>
  <si>
    <t>q tablas</t>
  </si>
  <si>
    <t>4 tratamientos y 15 grados de libertad</t>
  </si>
  <si>
    <t>HSD  = W</t>
  </si>
  <si>
    <t>r</t>
  </si>
  <si>
    <t>NUM</t>
  </si>
  <si>
    <t>Porcentaje de algodón (lb/plg2)</t>
  </si>
  <si>
    <t>Sí existe diferencia</t>
  </si>
  <si>
    <t>Media</t>
  </si>
  <si>
    <t>EE*Umbral</t>
  </si>
  <si>
    <t>Lim Inf</t>
  </si>
  <si>
    <t>Lim Sup</t>
  </si>
  <si>
    <t>w</t>
  </si>
  <si>
    <t>Primer Grupo</t>
  </si>
  <si>
    <t>Segundo Grupo</t>
  </si>
  <si>
    <t>Semilla</t>
  </si>
  <si>
    <t>Nivel de Fertilizante</t>
  </si>
  <si>
    <t>Bajo</t>
  </si>
  <si>
    <t>Medio</t>
  </si>
  <si>
    <t>Alto</t>
  </si>
  <si>
    <t>Yi..</t>
  </si>
  <si>
    <t>Y…</t>
  </si>
  <si>
    <t>Y.j.</t>
  </si>
  <si>
    <t>nij</t>
  </si>
  <si>
    <t>SEMILLAS</t>
  </si>
  <si>
    <t>Diferencia</t>
  </si>
  <si>
    <t>Cuadrado</t>
  </si>
  <si>
    <t>Suma de Cuad Semillas</t>
  </si>
  <si>
    <t>suma</t>
  </si>
  <si>
    <t>Anova: Two-Factor With Replication</t>
  </si>
  <si>
    <t>Sample</t>
  </si>
  <si>
    <t>Interaction</t>
  </si>
  <si>
    <t>Within</t>
  </si>
  <si>
    <t>FERTILIZANTE</t>
  </si>
  <si>
    <t>Suma de Cuad Fertilizante</t>
  </si>
  <si>
    <t>Diferencias respecto a media de su grupo</t>
  </si>
  <si>
    <t>Cuadrado de los residuales</t>
  </si>
  <si>
    <t>Variacion total</t>
  </si>
  <si>
    <t>Interacciones</t>
  </si>
  <si>
    <t>Fuente de Variacion</t>
  </si>
  <si>
    <t>Fertilizante</t>
  </si>
  <si>
    <t>Residual</t>
  </si>
  <si>
    <t>GL</t>
  </si>
  <si>
    <t>P Value</t>
  </si>
  <si>
    <t>Ho: alpha1 = alpha2 = … = 0</t>
  </si>
  <si>
    <t>Alpha no influye</t>
  </si>
  <si>
    <t>H0: beta1 = beta2 = … = 0</t>
  </si>
  <si>
    <t>Beta no influye</t>
  </si>
  <si>
    <t>H0: (alpha*beta)ij=0</t>
  </si>
  <si>
    <t>No hay interaccion</t>
  </si>
  <si>
    <t xml:space="preserve">Intereraccion </t>
  </si>
  <si>
    <t xml:space="preserve">Interacción </t>
  </si>
  <si>
    <t>Cuadrado de diferencias respecto a media de su grupo</t>
  </si>
  <si>
    <t>Intereaccion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</si>
</sst>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"/>
    <numFmt numFmtId="165" formatCode="0.000"/>
    <numFmt numFmtId="166" formatCode="0.0%"/>
    <numFmt numFmtId="167" formatCode="0.0000"/>
  </numFmts>
  <fonts count="21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rgb="FFFF0000"/>
      <name val="Calibri"/>
      <family val="2"/>
      <scheme val="minor"/>
    </font>
    <font>
      <sz val="8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20"/>
      <color rgb="FFFF0000"/>
      <name val="Calibri"/>
      <family val="2"/>
      <scheme val="minor"/>
    </font>
    <font>
      <sz val="18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2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0"/>
      <color theme="1"/>
      <name val="Calibri"/>
      <family val="2"/>
      <scheme val="minor"/>
    </font>
    <font>
      <sz val="11"/>
      <name val="Calibri"/>
      <family val="2"/>
      <scheme val="minor"/>
    </font>
    <font>
      <b/>
      <i/>
      <sz val="10"/>
      <color theme="1"/>
      <name val="Calibri"/>
      <family val="2"/>
      <scheme val="minor"/>
    </font>
    <font>
      <i/>
      <sz val="9"/>
      <color theme="1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4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7030A0"/>
        <bgColor indexed="64"/>
      </patternFill>
    </fill>
  </fills>
  <borders count="15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18"/>
      </bottom>
      <diagonal/>
    </border>
  </borders>
  <cellStyleXfs count="2">
    <xf numFmtId="0" fontId="0" fillId="0" borderId="0"/>
    <xf numFmtId="9" fontId="7" fillId="0" borderId="0" applyFont="0" applyFill="0" applyBorder="0" applyAlignment="0" applyProtection="0"/>
  </cellStyleXfs>
  <cellXfs count="160">
    <xf numFmtId="0" fontId="0" fillId="0" borderId="0" xfId="0"/>
    <xf numFmtId="164" fontId="0" fillId="0" borderId="0" xfId="0" applyNumberFormat="1"/>
    <xf numFmtId="2" fontId="0" fillId="0" borderId="0" xfId="0" applyNumberFormat="1"/>
    <xf numFmtId="0" fontId="0" fillId="0" borderId="0" xfId="0" applyFill="1" applyBorder="1" applyAlignment="1"/>
    <xf numFmtId="0" fontId="0" fillId="0" borderId="1" xfId="0" applyFill="1" applyBorder="1" applyAlignment="1"/>
    <xf numFmtId="0" fontId="4" fillId="0" borderId="2" xfId="0" applyFont="1" applyFill="1" applyBorder="1" applyAlignment="1">
      <alignment horizontal="center"/>
    </xf>
    <xf numFmtId="164" fontId="0" fillId="0" borderId="0" xfId="0" applyNumberFormat="1" applyFill="1" applyBorder="1" applyAlignment="1"/>
    <xf numFmtId="164" fontId="0" fillId="0" borderId="1" xfId="0" applyNumberFormat="1" applyFill="1" applyBorder="1" applyAlignment="1"/>
    <xf numFmtId="0" fontId="2" fillId="0" borderId="0" xfId="0" applyFont="1"/>
    <xf numFmtId="2" fontId="0" fillId="0" borderId="0" xfId="0" applyNumberFormat="1" applyAlignment="1">
      <alignment horizontal="center"/>
    </xf>
    <xf numFmtId="0" fontId="1" fillId="2" borderId="0" xfId="0" applyFont="1" applyFill="1" applyAlignment="1">
      <alignment horizontal="center"/>
    </xf>
    <xf numFmtId="0" fontId="3" fillId="4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0" fontId="3" fillId="0" borderId="0" xfId="0" applyFont="1" applyFill="1" applyAlignment="1"/>
    <xf numFmtId="164" fontId="0" fillId="5" borderId="3" xfId="0" applyNumberFormat="1" applyFill="1" applyBorder="1" applyAlignment="1">
      <alignment horizontal="center"/>
    </xf>
    <xf numFmtId="164" fontId="0" fillId="6" borderId="3" xfId="0" applyNumberFormat="1" applyFill="1" applyBorder="1" applyAlignment="1">
      <alignment horizontal="center"/>
    </xf>
    <xf numFmtId="0" fontId="5" fillId="7" borderId="0" xfId="0" applyFont="1" applyFill="1" applyAlignment="1">
      <alignment horizontal="center"/>
    </xf>
    <xf numFmtId="0" fontId="2" fillId="7" borderId="0" xfId="0" applyFont="1" applyFill="1"/>
    <xf numFmtId="164" fontId="0" fillId="8" borderId="0" xfId="0" applyNumberFormat="1" applyFill="1" applyBorder="1" applyAlignment="1">
      <alignment horizontal="center"/>
    </xf>
    <xf numFmtId="164" fontId="0" fillId="8" borderId="0" xfId="0" applyNumberFormat="1" applyFill="1" applyBorder="1" applyAlignment="1"/>
    <xf numFmtId="164" fontId="0" fillId="9" borderId="0" xfId="0" applyNumberFormat="1" applyFill="1" applyAlignment="1">
      <alignment horizontal="center"/>
    </xf>
    <xf numFmtId="164" fontId="0" fillId="9" borderId="0" xfId="0" applyNumberFormat="1" applyFill="1" applyBorder="1" applyAlignment="1"/>
    <xf numFmtId="164" fontId="0" fillId="9" borderId="1" xfId="0" applyNumberFormat="1" applyFill="1" applyBorder="1" applyAlignment="1"/>
    <xf numFmtId="0" fontId="2" fillId="0" borderId="0" xfId="0" applyFont="1" applyAlignment="1">
      <alignment horizontal="center"/>
    </xf>
    <xf numFmtId="1" fontId="0" fillId="0" borderId="0" xfId="0" applyNumberFormat="1" applyAlignment="1">
      <alignment horizontal="center"/>
    </xf>
    <xf numFmtId="1" fontId="0" fillId="10" borderId="0" xfId="0" applyNumberFormat="1" applyFill="1" applyAlignment="1">
      <alignment horizontal="center"/>
    </xf>
    <xf numFmtId="0" fontId="0" fillId="10" borderId="0" xfId="0" applyFill="1"/>
    <xf numFmtId="0" fontId="0" fillId="10" borderId="0" xfId="0" applyFill="1" applyBorder="1" applyAlignment="1"/>
    <xf numFmtId="0" fontId="0" fillId="11" borderId="0" xfId="0" applyFill="1"/>
    <xf numFmtId="0" fontId="0" fillId="11" borderId="0" xfId="0" applyFill="1" applyBorder="1" applyAlignment="1"/>
    <xf numFmtId="0" fontId="2" fillId="0" borderId="0" xfId="0" applyFont="1" applyAlignment="1">
      <alignment horizontal="center"/>
    </xf>
    <xf numFmtId="0" fontId="0" fillId="13" borderId="0" xfId="0" applyFill="1"/>
    <xf numFmtId="0" fontId="0" fillId="13" borderId="1" xfId="0" applyFill="1" applyBorder="1" applyAlignment="1"/>
    <xf numFmtId="165" fontId="0" fillId="0" borderId="3" xfId="0" applyNumberFormat="1" applyBorder="1" applyAlignment="1">
      <alignment horizontal="center"/>
    </xf>
    <xf numFmtId="2" fontId="0" fillId="0" borderId="3" xfId="0" applyNumberFormat="1" applyBorder="1" applyAlignment="1">
      <alignment horizontal="center"/>
    </xf>
    <xf numFmtId="0" fontId="0" fillId="14" borderId="0" xfId="0" applyFill="1"/>
    <xf numFmtId="0" fontId="0" fillId="14" borderId="0" xfId="0" applyFill="1" applyBorder="1" applyAlignment="1"/>
    <xf numFmtId="0" fontId="2" fillId="0" borderId="1" xfId="0" applyFont="1" applyFill="1" applyBorder="1" applyAlignment="1">
      <alignment horizontal="center"/>
    </xf>
    <xf numFmtId="0" fontId="1" fillId="12" borderId="0" xfId="0" applyFont="1" applyFill="1" applyAlignment="1">
      <alignment horizontal="center"/>
    </xf>
    <xf numFmtId="0" fontId="0" fillId="15" borderId="0" xfId="0" applyFill="1"/>
    <xf numFmtId="0" fontId="6" fillId="0" borderId="0" xfId="0" applyFont="1"/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Font="1" applyAlignment="1">
      <alignment horizontal="center"/>
    </xf>
    <xf numFmtId="0" fontId="8" fillId="0" borderId="0" xfId="0" applyFont="1"/>
    <xf numFmtId="166" fontId="0" fillId="0" borderId="0" xfId="1" applyNumberFormat="1" applyFont="1"/>
    <xf numFmtId="0" fontId="3" fillId="16" borderId="0" xfId="0" applyFont="1" applyFill="1" applyBorder="1" applyAlignment="1"/>
    <xf numFmtId="0" fontId="3" fillId="16" borderId="0" xfId="0" applyFont="1" applyFill="1"/>
    <xf numFmtId="0" fontId="3" fillId="2" borderId="0" xfId="0" applyFont="1" applyFill="1"/>
    <xf numFmtId="0" fontId="3" fillId="2" borderId="0" xfId="0" applyFont="1" applyFill="1" applyBorder="1" applyAlignment="1"/>
    <xf numFmtId="164" fontId="0" fillId="0" borderId="0" xfId="0" applyNumberFormat="1" applyAlignment="1">
      <alignment horizontal="center"/>
    </xf>
    <xf numFmtId="0" fontId="11" fillId="0" borderId="0" xfId="0" applyFont="1"/>
    <xf numFmtId="0" fontId="3" fillId="2" borderId="0" xfId="0" applyFont="1" applyFill="1" applyAlignment="1">
      <alignment horizontal="center"/>
    </xf>
    <xf numFmtId="0" fontId="3" fillId="3" borderId="0" xfId="0" applyFont="1" applyFill="1" applyAlignment="1">
      <alignment vertical="center"/>
    </xf>
    <xf numFmtId="0" fontId="0" fillId="0" borderId="0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3" fillId="17" borderId="0" xfId="0" applyFont="1" applyFill="1" applyBorder="1" applyAlignment="1"/>
    <xf numFmtId="0" fontId="0" fillId="8" borderId="0" xfId="0" applyFill="1" applyBorder="1" applyAlignment="1"/>
    <xf numFmtId="0" fontId="0" fillId="18" borderId="0" xfId="0" applyFill="1" applyBorder="1" applyAlignment="1"/>
    <xf numFmtId="0" fontId="0" fillId="18" borderId="1" xfId="0" applyFill="1" applyBorder="1" applyAlignment="1"/>
    <xf numFmtId="0" fontId="0" fillId="15" borderId="0" xfId="0" applyFill="1" applyBorder="1" applyAlignment="1"/>
    <xf numFmtId="0" fontId="0" fillId="0" borderId="0" xfId="0" applyAlignment="1">
      <alignment horizontal="center" wrapText="1"/>
    </xf>
    <xf numFmtId="0" fontId="12" fillId="0" borderId="0" xfId="0" applyFont="1"/>
    <xf numFmtId="0" fontId="0" fillId="0" borderId="3" xfId="0" applyBorder="1" applyAlignment="1">
      <alignment horizontal="center"/>
    </xf>
    <xf numFmtId="0" fontId="3" fillId="19" borderId="3" xfId="0" applyFont="1" applyFill="1" applyBorder="1" applyAlignment="1">
      <alignment horizontal="center"/>
    </xf>
    <xf numFmtId="0" fontId="2" fillId="15" borderId="0" xfId="0" applyFont="1" applyFill="1" applyAlignment="1">
      <alignment horizontal="center"/>
    </xf>
    <xf numFmtId="2" fontId="0" fillId="21" borderId="0" xfId="0" applyNumberFormat="1" applyFill="1" applyAlignment="1">
      <alignment horizontal="center"/>
    </xf>
    <xf numFmtId="0" fontId="0" fillId="21" borderId="0" xfId="0" applyFill="1" applyAlignment="1">
      <alignment horizontal="center"/>
    </xf>
    <xf numFmtId="2" fontId="0" fillId="0" borderId="9" xfId="0" applyNumberFormat="1" applyBorder="1" applyAlignment="1">
      <alignment horizontal="center"/>
    </xf>
    <xf numFmtId="2" fontId="0" fillId="0" borderId="10" xfId="0" applyNumberFormat="1" applyBorder="1" applyAlignment="1">
      <alignment horizontal="center"/>
    </xf>
    <xf numFmtId="2" fontId="0" fillId="0" borderId="11" xfId="0" applyNumberFormat="1" applyBorder="1" applyAlignment="1">
      <alignment horizontal="center"/>
    </xf>
    <xf numFmtId="2" fontId="0" fillId="0" borderId="4" xfId="0" applyNumberFormat="1" applyBorder="1" applyAlignment="1">
      <alignment horizontal="center"/>
    </xf>
    <xf numFmtId="2" fontId="0" fillId="0" borderId="5" xfId="0" applyNumberFormat="1" applyBorder="1" applyAlignment="1">
      <alignment horizontal="center"/>
    </xf>
    <xf numFmtId="2" fontId="0" fillId="0" borderId="6" xfId="0" applyNumberFormat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2" fontId="0" fillId="0" borderId="7" xfId="0" applyNumberFormat="1" applyBorder="1" applyAlignment="1">
      <alignment horizontal="center"/>
    </xf>
    <xf numFmtId="2" fontId="0" fillId="0" borderId="0" xfId="0" applyNumberFormat="1" applyBorder="1" applyAlignment="1">
      <alignment horizontal="center"/>
    </xf>
    <xf numFmtId="2" fontId="0" fillId="0" borderId="8" xfId="0" applyNumberFormat="1" applyBorder="1" applyAlignment="1">
      <alignment horizontal="center"/>
    </xf>
    <xf numFmtId="0" fontId="14" fillId="0" borderId="0" xfId="0" applyFont="1" applyFill="1"/>
    <xf numFmtId="0" fontId="13" fillId="0" borderId="0" xfId="0" applyFont="1"/>
    <xf numFmtId="0" fontId="0" fillId="8" borderId="7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2" fontId="0" fillId="8" borderId="0" xfId="0" applyNumberFormat="1" applyFill="1" applyBorder="1" applyAlignment="1">
      <alignment horizontal="center"/>
    </xf>
    <xf numFmtId="0" fontId="0" fillId="8" borderId="8" xfId="0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0" fillId="22" borderId="4" xfId="0" applyFill="1" applyBorder="1" applyAlignment="1">
      <alignment horizontal="center"/>
    </xf>
    <xf numFmtId="0" fontId="0" fillId="22" borderId="5" xfId="0" applyFill="1" applyBorder="1" applyAlignment="1">
      <alignment horizontal="center"/>
    </xf>
    <xf numFmtId="0" fontId="0" fillId="22" borderId="6" xfId="0" applyFill="1" applyBorder="1" applyAlignment="1">
      <alignment horizontal="center"/>
    </xf>
    <xf numFmtId="0" fontId="0" fillId="22" borderId="0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18" borderId="0" xfId="0" applyFill="1" applyBorder="1" applyAlignment="1">
      <alignment horizontal="center"/>
    </xf>
    <xf numFmtId="2" fontId="0" fillId="18" borderId="0" xfId="0" applyNumberFormat="1" applyFill="1"/>
    <xf numFmtId="0" fontId="3" fillId="23" borderId="0" xfId="0" applyFont="1" applyFill="1"/>
    <xf numFmtId="0" fontId="3" fillId="23" borderId="0" xfId="0" applyFont="1" applyFill="1" applyBorder="1" applyAlignment="1">
      <alignment horizontal="center"/>
    </xf>
    <xf numFmtId="0" fontId="0" fillId="24" borderId="0" xfId="0" applyFill="1"/>
    <xf numFmtId="0" fontId="0" fillId="24" borderId="1" xfId="0" applyFill="1" applyBorder="1" applyAlignment="1">
      <alignment horizontal="center"/>
    </xf>
    <xf numFmtId="2" fontId="3" fillId="17" borderId="0" xfId="0" applyNumberFormat="1" applyFont="1" applyFill="1" applyAlignment="1">
      <alignment horizontal="center"/>
    </xf>
    <xf numFmtId="2" fontId="3" fillId="17" borderId="0" xfId="0" applyNumberFormat="1" applyFont="1" applyFill="1" applyBorder="1" applyAlignment="1">
      <alignment horizontal="center"/>
    </xf>
    <xf numFmtId="0" fontId="1" fillId="25" borderId="0" xfId="0" applyFont="1" applyFill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165" fontId="0" fillId="0" borderId="0" xfId="0" applyNumberFormat="1" applyAlignment="1">
      <alignment horizontal="center"/>
    </xf>
    <xf numFmtId="167" fontId="0" fillId="0" borderId="0" xfId="0" applyNumberFormat="1" applyAlignment="1">
      <alignment horizontal="center"/>
    </xf>
    <xf numFmtId="0" fontId="15" fillId="0" borderId="0" xfId="0" applyFont="1"/>
    <xf numFmtId="0" fontId="16" fillId="0" borderId="0" xfId="0" applyFont="1" applyAlignment="1">
      <alignment horizontal="center"/>
    </xf>
    <xf numFmtId="0" fontId="3" fillId="19" borderId="0" xfId="0" applyFont="1" applyFill="1" applyBorder="1" applyAlignment="1">
      <alignment horizontal="center"/>
    </xf>
    <xf numFmtId="0" fontId="3" fillId="19" borderId="12" xfId="0" applyFont="1" applyFill="1" applyBorder="1" applyAlignment="1">
      <alignment horizontal="center"/>
    </xf>
    <xf numFmtId="0" fontId="3" fillId="2" borderId="0" xfId="0" applyFont="1" applyFill="1" applyAlignment="1">
      <alignment horizontal="center"/>
    </xf>
    <xf numFmtId="49" fontId="3" fillId="2" borderId="0" xfId="0" applyNumberFormat="1" applyFont="1" applyFill="1" applyAlignment="1">
      <alignment horizontal="center"/>
    </xf>
    <xf numFmtId="0" fontId="0" fillId="15" borderId="1" xfId="0" applyFill="1" applyBorder="1" applyAlignment="1"/>
    <xf numFmtId="165" fontId="0" fillId="0" borderId="0" xfId="0" applyNumberFormat="1"/>
    <xf numFmtId="0" fontId="0" fillId="0" borderId="0" xfId="0" applyBorder="1" applyAlignment="1">
      <alignment horizontal="center"/>
    </xf>
    <xf numFmtId="0" fontId="0" fillId="0" borderId="0" xfId="0" applyBorder="1"/>
    <xf numFmtId="0" fontId="2" fillId="0" borderId="0" xfId="0" applyFont="1" applyAlignment="1">
      <alignment horizontal="center"/>
    </xf>
    <xf numFmtId="0" fontId="3" fillId="2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2" fillId="26" borderId="0" xfId="0" applyFont="1" applyFill="1" applyAlignment="1">
      <alignment horizontal="center"/>
    </xf>
    <xf numFmtId="2" fontId="2" fillId="26" borderId="0" xfId="0" applyNumberFormat="1" applyFont="1" applyFill="1" applyAlignment="1">
      <alignment horizontal="center"/>
    </xf>
    <xf numFmtId="0" fontId="3" fillId="27" borderId="0" xfId="0" applyFont="1" applyFill="1" applyAlignment="1">
      <alignment horizontal="center"/>
    </xf>
    <xf numFmtId="2" fontId="3" fillId="27" borderId="0" xfId="0" applyNumberFormat="1" applyFont="1" applyFill="1" applyAlignment="1">
      <alignment horizontal="center"/>
    </xf>
    <xf numFmtId="2" fontId="0" fillId="0" borderId="13" xfId="0" applyNumberFormat="1" applyBorder="1" applyAlignment="1">
      <alignment horizontal="center"/>
    </xf>
    <xf numFmtId="0" fontId="3" fillId="2" borderId="0" xfId="0" applyFont="1" applyFill="1" applyAlignment="1">
      <alignment vertical="center"/>
    </xf>
    <xf numFmtId="0" fontId="17" fillId="0" borderId="14" xfId="0" applyFont="1" applyFill="1" applyBorder="1" applyAlignment="1">
      <alignment horizontal="right"/>
    </xf>
    <xf numFmtId="0" fontId="19" fillId="0" borderId="14" xfId="0" applyFont="1" applyFill="1" applyBorder="1" applyAlignment="1">
      <alignment horizontal="right"/>
    </xf>
    <xf numFmtId="0" fontId="3" fillId="28" borderId="0" xfId="0" applyFont="1" applyFill="1" applyBorder="1" applyAlignment="1"/>
    <xf numFmtId="2" fontId="3" fillId="28" borderId="0" xfId="0" applyNumberFormat="1" applyFont="1" applyFill="1" applyBorder="1" applyAlignment="1"/>
    <xf numFmtId="0" fontId="20" fillId="0" borderId="2" xfId="0" applyFont="1" applyFill="1" applyBorder="1" applyAlignment="1">
      <alignment horizontal="center"/>
    </xf>
    <xf numFmtId="2" fontId="18" fillId="0" borderId="0" xfId="0" applyNumberFormat="1" applyFont="1" applyFill="1"/>
    <xf numFmtId="0" fontId="5" fillId="15" borderId="0" xfId="0" applyFont="1" applyFill="1" applyBorder="1" applyAlignment="1"/>
    <xf numFmtId="0" fontId="3" fillId="17" borderId="0" xfId="0" applyFont="1" applyFill="1"/>
    <xf numFmtId="167" fontId="0" fillId="0" borderId="0" xfId="0" applyNumberFormat="1"/>
    <xf numFmtId="2" fontId="0" fillId="0" borderId="3" xfId="0" applyNumberFormat="1" applyBorder="1"/>
    <xf numFmtId="167" fontId="3" fillId="29" borderId="0" xfId="0" applyNumberFormat="1" applyFont="1" applyFill="1"/>
    <xf numFmtId="0" fontId="18" fillId="8" borderId="0" xfId="0" applyFont="1" applyFill="1"/>
    <xf numFmtId="9" fontId="2" fillId="0" borderId="0" xfId="1" applyFont="1"/>
    <xf numFmtId="0" fontId="0" fillId="0" borderId="13" xfId="0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0" fillId="0" borderId="1" xfId="0" applyBorder="1"/>
    <xf numFmtId="0" fontId="3" fillId="4" borderId="0" xfId="0" applyFont="1" applyFill="1" applyAlignment="1">
      <alignment horizontal="center"/>
    </xf>
    <xf numFmtId="0" fontId="3" fillId="1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vertical="center" textRotation="45"/>
    </xf>
    <xf numFmtId="0" fontId="10" fillId="0" borderId="0" xfId="0" applyFont="1" applyAlignment="1">
      <alignment horizontal="center"/>
    </xf>
    <xf numFmtId="0" fontId="3" fillId="3" borderId="0" xfId="0" applyFont="1" applyFill="1" applyAlignment="1">
      <alignment horizontal="center" vertical="center"/>
    </xf>
    <xf numFmtId="0" fontId="2" fillId="20" borderId="0" xfId="0" applyFont="1" applyFill="1" applyAlignment="1">
      <alignment horizontal="center"/>
    </xf>
    <xf numFmtId="0" fontId="6" fillId="0" borderId="0" xfId="0" applyFont="1" applyAlignment="1">
      <alignment horizontal="center"/>
    </xf>
    <xf numFmtId="0" fontId="3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0" fontId="3" fillId="2" borderId="8" xfId="0" applyFont="1" applyFill="1" applyBorder="1" applyAlignment="1">
      <alignment horizontal="center" vertical="center"/>
    </xf>
    <xf numFmtId="167" fontId="2" fillId="15" borderId="0" xfId="0" applyNumberFormat="1" applyFont="1" applyFill="1" applyAlignment="1">
      <alignment horizontal="center"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124778</xdr:colOff>
      <xdr:row>21</xdr:row>
      <xdr:rowOff>124382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FFE5C2-DEBD-43A2-A04C-0013CFA4A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30378" cy="39915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76200</xdr:rowOff>
    </xdr:from>
    <xdr:to>
      <xdr:col>13</xdr:col>
      <xdr:colOff>10632</xdr:colOff>
      <xdr:row>48</xdr:row>
      <xdr:rowOff>95947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E5787C-93C9-47B3-B7B3-A345B85F8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43350"/>
          <a:ext cx="7935432" cy="4991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120650</xdr:rowOff>
    </xdr:from>
    <xdr:to>
      <xdr:col>18</xdr:col>
      <xdr:colOff>249216</xdr:colOff>
      <xdr:row>88</xdr:row>
      <xdr:rowOff>23239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E1DAC6-F50D-4083-9A13-B988ACA4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59850"/>
          <a:ext cx="11222016" cy="726858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425723</xdr:colOff>
      <xdr:row>18</xdr:row>
      <xdr:rowOff>82725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1D23F2-B71B-414C-B9DF-E757C02B4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302523" cy="33974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238311</xdr:colOff>
      <xdr:row>5</xdr:row>
      <xdr:rowOff>78815</xdr:rowOff>
    </xdr:from>
    <xdr:to>
      <xdr:col>18</xdr:col>
      <xdr:colOff>962638</xdr:colOff>
      <xdr:row>11</xdr:row>
      <xdr:rowOff>17637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888294-04E6-4157-AFA2-B9446BC76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3899" y="1012639"/>
          <a:ext cx="2630394" cy="1059410"/>
        </a:xfrm>
        <a:prstGeom prst="rect">
          <a:avLst/>
        </a:prstGeom>
      </xdr:spPr>
    </xdr:pic>
    <xdr:clientData/>
  </xdr:twoCellAnchor>
  <xdr:twoCellAnchor editAs="oneCell">
    <xdr:from>
      <xdr:col>18</xdr:col>
      <xdr:colOff>304800</xdr:colOff>
      <xdr:row>13</xdr:row>
      <xdr:rowOff>5229</xdr:rowOff>
    </xdr:from>
    <xdr:to>
      <xdr:col>20</xdr:col>
      <xdr:colOff>312787</xdr:colOff>
      <xdr:row>17</xdr:row>
      <xdr:rowOff>113222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6E6A74-5984-49B9-9E30-A8939992A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75565" y="2433170"/>
          <a:ext cx="1745966" cy="855052"/>
        </a:xfrm>
        <a:prstGeom prst="rect">
          <a:avLst/>
        </a:prstGeom>
      </xdr:spPr>
    </xdr:pic>
    <xdr:clientData/>
  </xdr:twoCellAnchor>
  <xdr:twoCellAnchor>
    <xdr:from>
      <xdr:col>4</xdr:col>
      <xdr:colOff>246529</xdr:colOff>
      <xdr:row>19</xdr:row>
      <xdr:rowOff>119530</xdr:rowOff>
    </xdr:from>
    <xdr:to>
      <xdr:col>7</xdr:col>
      <xdr:colOff>403411</xdr:colOff>
      <xdr:row>26</xdr:row>
      <xdr:rowOff>97118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A4287349-8906-42CC-BDD4-5D803DCFB1D9}"/>
            </a:ext>
          </a:extLst>
        </xdr:cNvPr>
        <xdr:cNvCxnSpPr/>
      </xdr:nvCxnSpPr>
      <xdr:spPr>
        <a:xfrm flipH="1" flipV="1">
          <a:off x="2696882" y="3668059"/>
          <a:ext cx="1994647" cy="13073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261472</xdr:colOff>
      <xdr:row>24</xdr:row>
      <xdr:rowOff>127000</xdr:rowOff>
    </xdr:from>
    <xdr:to>
      <xdr:col>7</xdr:col>
      <xdr:colOff>425823</xdr:colOff>
      <xdr:row>32</xdr:row>
      <xdr:rowOff>14941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210B8C12-EF7B-4CB3-9E10-F86F2CB7197C}"/>
            </a:ext>
          </a:extLst>
        </xdr:cNvPr>
        <xdr:cNvCxnSpPr/>
      </xdr:nvCxnSpPr>
      <xdr:spPr>
        <a:xfrm flipH="1" flipV="1">
          <a:off x="2711825" y="4616824"/>
          <a:ext cx="2002116" cy="14119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388470</xdr:colOff>
      <xdr:row>26</xdr:row>
      <xdr:rowOff>164353</xdr:rowOff>
    </xdr:from>
    <xdr:to>
      <xdr:col>7</xdr:col>
      <xdr:colOff>418351</xdr:colOff>
      <xdr:row>38</xdr:row>
      <xdr:rowOff>119531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7F26EFB0-B0C7-496C-BEF6-6A73F2A0495D}"/>
            </a:ext>
          </a:extLst>
        </xdr:cNvPr>
        <xdr:cNvCxnSpPr/>
      </xdr:nvCxnSpPr>
      <xdr:spPr>
        <a:xfrm flipH="1" flipV="1">
          <a:off x="2226235" y="5042647"/>
          <a:ext cx="2480234" cy="22187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290286</xdr:colOff>
      <xdr:row>43</xdr:row>
      <xdr:rowOff>72571</xdr:rowOff>
    </xdr:from>
    <xdr:to>
      <xdr:col>23</xdr:col>
      <xdr:colOff>67254</xdr:colOff>
      <xdr:row>48</xdr:row>
      <xdr:rowOff>29072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F466E3-1F16-474A-8AB3-9628E345D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833929" y="7928428"/>
          <a:ext cx="2425825" cy="863644"/>
        </a:xfrm>
        <a:prstGeom prst="rect">
          <a:avLst/>
        </a:prstGeom>
      </xdr:spPr>
    </xdr:pic>
    <xdr:clientData/>
  </xdr:twoCellAnchor>
  <xdr:twoCellAnchor editAs="oneCell">
    <xdr:from>
      <xdr:col>14</xdr:col>
      <xdr:colOff>607786</xdr:colOff>
      <xdr:row>54</xdr:row>
      <xdr:rowOff>63501</xdr:rowOff>
    </xdr:from>
    <xdr:to>
      <xdr:col>17</xdr:col>
      <xdr:colOff>506354</xdr:colOff>
      <xdr:row>58</xdr:row>
      <xdr:rowOff>137927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452A92B-B49B-42F2-843B-DF834F21A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70572" y="9915072"/>
          <a:ext cx="3264068" cy="800141"/>
        </a:xfrm>
        <a:prstGeom prst="rect">
          <a:avLst/>
        </a:prstGeom>
      </xdr:spPr>
    </xdr:pic>
    <xdr:clientData/>
  </xdr:twoCellAnchor>
  <xdr:twoCellAnchor editAs="oneCell">
    <xdr:from>
      <xdr:col>21</xdr:col>
      <xdr:colOff>478518</xdr:colOff>
      <xdr:row>53</xdr:row>
      <xdr:rowOff>58965</xdr:rowOff>
    </xdr:from>
    <xdr:to>
      <xdr:col>34</xdr:col>
      <xdr:colOff>428666</xdr:colOff>
      <xdr:row>74</xdr:row>
      <xdr:rowOff>117929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669BFB1-00F5-4F2A-B2AA-54EF0792F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455447" y="9729108"/>
          <a:ext cx="7851362" cy="388710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171450</xdr:rowOff>
    </xdr:from>
    <xdr:to>
      <xdr:col>15</xdr:col>
      <xdr:colOff>159228</xdr:colOff>
      <xdr:row>34</xdr:row>
      <xdr:rowOff>63816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0C43DD-415C-4C2A-B10A-45097919E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"/>
          <a:ext cx="9303228" cy="61534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603250</xdr:colOff>
      <xdr:row>4</xdr:row>
      <xdr:rowOff>69850</xdr:rowOff>
    </xdr:from>
    <xdr:to>
      <xdr:col>9</xdr:col>
      <xdr:colOff>38100</xdr:colOff>
      <xdr:row>10</xdr:row>
      <xdr:rowOff>79531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315D80-9A01-4EBF-806A-95D3DD2F2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59750" y="806450"/>
          <a:ext cx="1371600" cy="1114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19050</xdr:rowOff>
    </xdr:from>
    <xdr:to>
      <xdr:col>1</xdr:col>
      <xdr:colOff>12700</xdr:colOff>
      <xdr:row>13</xdr:row>
      <xdr:rowOff>158748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368BD0-029F-4952-AA5E-2C98F7BFF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92250"/>
          <a:ext cx="1397000" cy="1060449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17</xdr:row>
      <xdr:rowOff>6350</xdr:rowOff>
    </xdr:from>
    <xdr:to>
      <xdr:col>13</xdr:col>
      <xdr:colOff>102121</xdr:colOff>
      <xdr:row>23</xdr:row>
      <xdr:rowOff>35083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BACC6D-A62B-4BCF-B157-F004B9981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12150" y="3136900"/>
          <a:ext cx="3734321" cy="11336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1377950</xdr:colOff>
      <xdr:row>22</xdr:row>
      <xdr:rowOff>177801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3B6B9F-7BE9-4D03-A868-0006FDA53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30550"/>
          <a:ext cx="1377950" cy="10985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31750</xdr:rowOff>
    </xdr:from>
    <xdr:to>
      <xdr:col>3</xdr:col>
      <xdr:colOff>734061</xdr:colOff>
      <xdr:row>2</xdr:row>
      <xdr:rowOff>27764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A1E9E4B-5358-4099-8224-4A2218B3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1750"/>
          <a:ext cx="2946400" cy="291924"/>
        </a:xfrm>
        <a:prstGeom prst="rect">
          <a:avLst/>
        </a:prstGeom>
      </xdr:spPr>
    </xdr:pic>
    <xdr:clientData/>
  </xdr:twoCellAnchor>
  <xdr:twoCellAnchor editAs="oneCell">
    <xdr:from>
      <xdr:col>9</xdr:col>
      <xdr:colOff>19051</xdr:colOff>
      <xdr:row>21</xdr:row>
      <xdr:rowOff>6350</xdr:rowOff>
    </xdr:from>
    <xdr:to>
      <xdr:col>13</xdr:col>
      <xdr:colOff>599441</xdr:colOff>
      <xdr:row>23</xdr:row>
      <xdr:rowOff>174199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2A4AA4-4C9C-4A8A-A211-0D785E725C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91451" y="3803650"/>
          <a:ext cx="3803650" cy="724109"/>
        </a:xfrm>
        <a:prstGeom prst="rect">
          <a:avLst/>
        </a:prstGeom>
      </xdr:spPr>
    </xdr:pic>
    <xdr:clientData/>
  </xdr:twoCellAnchor>
  <xdr:twoCellAnchor editAs="oneCell">
    <xdr:from>
      <xdr:col>9</xdr:col>
      <xdr:colOff>50800</xdr:colOff>
      <xdr:row>25</xdr:row>
      <xdr:rowOff>88900</xdr:rowOff>
    </xdr:from>
    <xdr:to>
      <xdr:col>11</xdr:col>
      <xdr:colOff>91874</xdr:colOff>
      <xdr:row>28</xdr:row>
      <xdr:rowOff>157480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113F7B-29DF-46AA-9162-2B6D1BE49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23200" y="4622800"/>
          <a:ext cx="2050214" cy="622300"/>
        </a:xfrm>
        <a:prstGeom prst="rect">
          <a:avLst/>
        </a:prstGeom>
      </xdr:spPr>
    </xdr:pic>
    <xdr:clientData/>
  </xdr:twoCellAnchor>
  <xdr:twoCellAnchor editAs="oneCell">
    <xdr:from>
      <xdr:col>9</xdr:col>
      <xdr:colOff>158750</xdr:colOff>
      <xdr:row>28</xdr:row>
      <xdr:rowOff>152401</xdr:rowOff>
    </xdr:from>
    <xdr:to>
      <xdr:col>10</xdr:col>
      <xdr:colOff>523240</xdr:colOff>
      <xdr:row>32</xdr:row>
      <xdr:rowOff>107967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DCE64E-DD75-4172-8AD1-49DB45608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31150" y="5238751"/>
          <a:ext cx="1416050" cy="690896"/>
        </a:xfrm>
        <a:prstGeom prst="rect">
          <a:avLst/>
        </a:prstGeom>
      </xdr:spPr>
    </xdr:pic>
    <xdr:clientData/>
  </xdr:twoCellAnchor>
  <xdr:twoCellAnchor editAs="oneCell">
    <xdr:from>
      <xdr:col>9</xdr:col>
      <xdr:colOff>19051</xdr:colOff>
      <xdr:row>32</xdr:row>
      <xdr:rowOff>120651</xdr:rowOff>
    </xdr:from>
    <xdr:to>
      <xdr:col>11</xdr:col>
      <xdr:colOff>576581</xdr:colOff>
      <xdr:row>35</xdr:row>
      <xdr:rowOff>111679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42E3A9-82D0-4F6F-A028-2942DD7E5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91451" y="5943601"/>
          <a:ext cx="2565400" cy="5434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82550</xdr:rowOff>
    </xdr:from>
    <xdr:to>
      <xdr:col>3</xdr:col>
      <xdr:colOff>734060</xdr:colOff>
      <xdr:row>63</xdr:row>
      <xdr:rowOff>4904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9FC5648-9B48-4127-8525-DEA647A71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245850"/>
          <a:ext cx="2946400" cy="29192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666750</xdr:colOff>
      <xdr:row>25</xdr:row>
      <xdr:rowOff>0</xdr:rowOff>
    </xdr:from>
    <xdr:to>
      <xdr:col>7</xdr:col>
      <xdr:colOff>812800</xdr:colOff>
      <xdr:row>27</xdr:row>
      <xdr:rowOff>184150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6EDB1B8-B3C0-423C-B1CA-D29D1508E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55800" y="4616450"/>
          <a:ext cx="6889750" cy="5524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465868</xdr:colOff>
      <xdr:row>6</xdr:row>
      <xdr:rowOff>110731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C8A34B1-B015-4499-99C2-D3D1948DD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980471" cy="12156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127000</xdr:rowOff>
    </xdr:from>
    <xdr:to>
      <xdr:col>3</xdr:col>
      <xdr:colOff>234950</xdr:colOff>
      <xdr:row>8</xdr:row>
      <xdr:rowOff>1781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C496E04-F70A-4A33-BC39-7A03EE6E4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31900"/>
          <a:ext cx="3822700" cy="243081"/>
        </a:xfrm>
        <a:prstGeom prst="rect">
          <a:avLst/>
        </a:prstGeom>
      </xdr:spPr>
    </xdr:pic>
    <xdr:clientData/>
  </xdr:twoCellAnchor>
  <xdr:twoCellAnchor editAs="oneCell">
    <xdr:from>
      <xdr:col>1</xdr:col>
      <xdr:colOff>233082</xdr:colOff>
      <xdr:row>32</xdr:row>
      <xdr:rowOff>116541</xdr:rowOff>
    </xdr:from>
    <xdr:to>
      <xdr:col>4</xdr:col>
      <xdr:colOff>522567</xdr:colOff>
      <xdr:row>33</xdr:row>
      <xdr:rowOff>175472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55FD83-A8E3-4913-B818-87DAF2C92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43317" y="6264835"/>
          <a:ext cx="3823074" cy="245696"/>
        </a:xfrm>
        <a:prstGeom prst="rect">
          <a:avLst/>
        </a:prstGeom>
      </xdr:spPr>
    </xdr:pic>
    <xdr:clientData/>
  </xdr:twoCellAnchor>
  <xdr:twoCellAnchor editAs="oneCell">
    <xdr:from>
      <xdr:col>8</xdr:col>
      <xdr:colOff>306294</xdr:colOff>
      <xdr:row>73</xdr:row>
      <xdr:rowOff>29883</xdr:rowOff>
    </xdr:from>
    <xdr:to>
      <xdr:col>10</xdr:col>
      <xdr:colOff>530413</xdr:colOff>
      <xdr:row>75</xdr:row>
      <xdr:rowOff>164353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F7C6D0-F984-4951-BEAA-DA720BEA2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87765" y="14029765"/>
          <a:ext cx="1972236" cy="508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0</xdr:row>
      <xdr:rowOff>304800</xdr:rowOff>
    </xdr:from>
    <xdr:to>
      <xdr:col>7</xdr:col>
      <xdr:colOff>175371</xdr:colOff>
      <xdr:row>3</xdr:row>
      <xdr:rowOff>34985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7D7A92C-6F92-464D-8796-E6DDA7842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304800"/>
          <a:ext cx="5344271" cy="428685"/>
        </a:xfrm>
        <a:prstGeom prst="rect">
          <a:avLst/>
        </a:prstGeom>
      </xdr:spPr>
    </xdr:pic>
    <xdr:clientData/>
  </xdr:twoCellAnchor>
  <xdr:twoCellAnchor editAs="oneCell">
    <xdr:from>
      <xdr:col>8</xdr:col>
      <xdr:colOff>311150</xdr:colOff>
      <xdr:row>28</xdr:row>
      <xdr:rowOff>19050</xdr:rowOff>
    </xdr:from>
    <xdr:to>
      <xdr:col>12</xdr:col>
      <xdr:colOff>90963</xdr:colOff>
      <xdr:row>31</xdr:row>
      <xdr:rowOff>31750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815A231-80A2-4FD9-8B1D-3A71B3C68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80300" y="5321300"/>
          <a:ext cx="2218213" cy="56515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</xdr:row>
      <xdr:rowOff>152400</xdr:rowOff>
    </xdr:from>
    <xdr:to>
      <xdr:col>5</xdr:col>
      <xdr:colOff>1150795</xdr:colOff>
      <xdr:row>38</xdr:row>
      <xdr:rowOff>101600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BD9A20-F8B8-4892-B9C1-9F1DD1D03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6007100"/>
          <a:ext cx="4198794" cy="12382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381396</xdr:colOff>
      <xdr:row>28</xdr:row>
      <xdr:rowOff>57418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22C40B-237D-4104-A5CB-ADF6C98D7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96596" cy="521361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63500</xdr:colOff>
      <xdr:row>19</xdr:row>
      <xdr:rowOff>95250</xdr:rowOff>
    </xdr:from>
    <xdr:to>
      <xdr:col>6</xdr:col>
      <xdr:colOff>326764</xdr:colOff>
      <xdr:row>20</xdr:row>
      <xdr:rowOff>155526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509B777-1528-4B70-8F97-36157031D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3100" y="3606800"/>
          <a:ext cx="3823074" cy="245696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190500</xdr:colOff>
      <xdr:row>33</xdr:row>
      <xdr:rowOff>95250</xdr:rowOff>
    </xdr:from>
    <xdr:to>
      <xdr:col>10</xdr:col>
      <xdr:colOff>199689</xdr:colOff>
      <xdr:row>35</xdr:row>
      <xdr:rowOff>180340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5A7983-6FB9-4623-A94E-A1AE31856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83200" y="6197600"/>
          <a:ext cx="1750359" cy="450850"/>
        </a:xfrm>
        <a:prstGeom prst="rect">
          <a:avLst/>
        </a:prstGeom>
      </xdr:spPr>
    </xdr:pic>
    <xdr:clientData/>
  </xdr:twoCellAnchor>
  <xdr:twoCellAnchor editAs="oneCell">
    <xdr:from>
      <xdr:col>9</xdr:col>
      <xdr:colOff>584200</xdr:colOff>
      <xdr:row>0</xdr:row>
      <xdr:rowOff>50800</xdr:rowOff>
    </xdr:from>
    <xdr:to>
      <xdr:col>15</xdr:col>
      <xdr:colOff>402786</xdr:colOff>
      <xdr:row>22</xdr:row>
      <xdr:rowOff>142454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3B1A1F-F100-4EE6-8736-A24B91211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07200" y="50800"/>
          <a:ext cx="3816546" cy="415946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1257299</xdr:colOff>
      <xdr:row>2</xdr:row>
      <xdr:rowOff>25943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E3807C-7507-4BB5-8BD6-468AF2FD7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14899" cy="394243"/>
        </a:xfrm>
        <a:prstGeom prst="rect">
          <a:avLst/>
        </a:prstGeom>
      </xdr:spPr>
    </xdr:pic>
    <xdr:clientData/>
  </xdr:twoCellAnchor>
  <xdr:twoCellAnchor editAs="oneCell">
    <xdr:from>
      <xdr:col>8</xdr:col>
      <xdr:colOff>495300</xdr:colOff>
      <xdr:row>0</xdr:row>
      <xdr:rowOff>114300</xdr:rowOff>
    </xdr:from>
    <xdr:to>
      <xdr:col>16</xdr:col>
      <xdr:colOff>294880</xdr:colOff>
      <xdr:row>37</xdr:row>
      <xdr:rowOff>174343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5F2953-F2D2-4610-A3CA-DB8211963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70700" y="114300"/>
          <a:ext cx="4676380" cy="68799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20F1D6-5B5A-46EB-B23B-A58A1D02F8C8}">
  <dimension ref="A1"/>
  <sheetViews>
    <sheetView workbookViewId="0">
      <selection activeCell="C53" sqref="C53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4CA5A9-5421-4739-99ED-C7460C1D2EFE}">
  <dimension ref="A3:H34"/>
  <sheetViews>
    <sheetView workbookViewId="0">
      <selection activeCell="H39" sqref="H39"/>
    </sheetView>
  </sheetViews>
  <sheetFormatPr defaultRowHeight="14.5" x14ac:dyDescent="0.35"/>
  <cols>
    <col min="7" max="8" width="19.81640625" bestFit="1" customWidth="1"/>
  </cols>
  <sheetData>
    <row r="3" spans="1:8" x14ac:dyDescent="0.35">
      <c r="A3" s="99" t="s">
        <v>118</v>
      </c>
      <c r="B3" s="99" t="s">
        <v>119</v>
      </c>
      <c r="C3" s="99" t="s">
        <v>120</v>
      </c>
      <c r="D3" s="99" t="s">
        <v>121</v>
      </c>
      <c r="E3" s="99" t="s">
        <v>123</v>
      </c>
      <c r="F3" s="99" t="s">
        <v>104</v>
      </c>
      <c r="G3" s="99" t="s">
        <v>122</v>
      </c>
      <c r="H3" s="99" t="s">
        <v>124</v>
      </c>
    </row>
    <row r="4" spans="1:8" x14ac:dyDescent="0.35">
      <c r="A4" s="52">
        <v>15</v>
      </c>
      <c r="B4" s="42">
        <v>7</v>
      </c>
      <c r="D4" s="112">
        <f>ABS(B4-$C$8)</f>
        <v>2.8000000000000007</v>
      </c>
      <c r="H4" s="77">
        <f>POWER(D4-$E$8,2)</f>
        <v>5.7600000000000318E-2</v>
      </c>
    </row>
    <row r="5" spans="1:8" x14ac:dyDescent="0.35">
      <c r="A5" s="52">
        <v>15</v>
      </c>
      <c r="B5" s="42">
        <v>7</v>
      </c>
      <c r="D5" s="112">
        <f t="shared" ref="D5:D8" si="0">ABS(B5-$C$8)</f>
        <v>2.8000000000000007</v>
      </c>
      <c r="H5" s="77">
        <f t="shared" ref="H5:H8" si="1">POWER(D5-$E$8,2)</f>
        <v>5.7600000000000318E-2</v>
      </c>
    </row>
    <row r="6" spans="1:8" x14ac:dyDescent="0.35">
      <c r="A6" s="52">
        <v>15</v>
      </c>
      <c r="B6" s="42">
        <v>15</v>
      </c>
      <c r="D6" s="112">
        <f t="shared" si="0"/>
        <v>5.1999999999999993</v>
      </c>
      <c r="H6" s="77">
        <f t="shared" si="1"/>
        <v>6.9695999999999962</v>
      </c>
    </row>
    <row r="7" spans="1:8" x14ac:dyDescent="0.35">
      <c r="A7" s="52">
        <v>15</v>
      </c>
      <c r="B7" s="42">
        <v>11</v>
      </c>
      <c r="D7" s="112">
        <f t="shared" si="0"/>
        <v>1.1999999999999993</v>
      </c>
      <c r="H7" s="77">
        <f t="shared" si="1"/>
        <v>1.8496000000000021</v>
      </c>
    </row>
    <row r="8" spans="1:8" x14ac:dyDescent="0.35">
      <c r="A8" s="52">
        <v>15</v>
      </c>
      <c r="B8" s="42">
        <v>9</v>
      </c>
      <c r="C8">
        <f>AVERAGE(B4:B8)</f>
        <v>9.8000000000000007</v>
      </c>
      <c r="D8" s="112">
        <f t="shared" si="0"/>
        <v>0.80000000000000071</v>
      </c>
      <c r="E8">
        <f>AVERAGE(D4:D8)</f>
        <v>2.56</v>
      </c>
      <c r="F8">
        <v>5</v>
      </c>
      <c r="G8" s="77">
        <f>F8*POWER(E8-$D$30,2)</f>
        <v>0.93311999999999973</v>
      </c>
      <c r="H8" s="77">
        <f t="shared" si="1"/>
        <v>3.0975999999999977</v>
      </c>
    </row>
    <row r="9" spans="1:8" x14ac:dyDescent="0.35">
      <c r="A9" s="52">
        <v>20</v>
      </c>
      <c r="B9" s="42">
        <v>12</v>
      </c>
      <c r="D9" s="112">
        <f>ABS(B9-$C$13)</f>
        <v>3.4000000000000004</v>
      </c>
      <c r="G9" s="113"/>
      <c r="H9" s="77">
        <f>POWER(D9-$E$13,2)</f>
        <v>0.46240000000000081</v>
      </c>
    </row>
    <row r="10" spans="1:8" x14ac:dyDescent="0.35">
      <c r="A10" s="52">
        <v>20</v>
      </c>
      <c r="B10" s="42">
        <v>17</v>
      </c>
      <c r="D10" s="112">
        <f t="shared" ref="D10:D13" si="2">ABS(B10-$C$13)</f>
        <v>1.5999999999999996</v>
      </c>
      <c r="G10" s="113"/>
      <c r="H10" s="77">
        <f t="shared" ref="H10:H13" si="3">POWER(D10-$E$13,2)</f>
        <v>1.2544000000000002</v>
      </c>
    </row>
    <row r="11" spans="1:8" x14ac:dyDescent="0.35">
      <c r="A11" s="52">
        <v>20</v>
      </c>
      <c r="B11" s="42">
        <v>12</v>
      </c>
      <c r="D11" s="112">
        <f t="shared" si="2"/>
        <v>3.4000000000000004</v>
      </c>
      <c r="G11" s="113"/>
      <c r="H11" s="77">
        <f t="shared" si="3"/>
        <v>0.46240000000000081</v>
      </c>
    </row>
    <row r="12" spans="1:8" x14ac:dyDescent="0.35">
      <c r="A12" s="52">
        <v>20</v>
      </c>
      <c r="B12" s="42">
        <v>18</v>
      </c>
      <c r="D12" s="112">
        <f t="shared" si="2"/>
        <v>2.5999999999999996</v>
      </c>
      <c r="G12" s="113"/>
      <c r="H12" s="77">
        <f t="shared" si="3"/>
        <v>1.4400000000000026E-2</v>
      </c>
    </row>
    <row r="13" spans="1:8" x14ac:dyDescent="0.35">
      <c r="A13" s="52">
        <v>20</v>
      </c>
      <c r="B13" s="42">
        <v>18</v>
      </c>
      <c r="C13">
        <f>AVERAGE(B9:B13)</f>
        <v>15.4</v>
      </c>
      <c r="D13" s="112">
        <f t="shared" si="2"/>
        <v>2.5999999999999996</v>
      </c>
      <c r="E13">
        <f>AVERAGE(D9:D13)</f>
        <v>2.7199999999999998</v>
      </c>
      <c r="F13">
        <v>5</v>
      </c>
      <c r="G13" s="77">
        <f>F13*POWER(E13-$D$30,2)</f>
        <v>1.7523199999999979</v>
      </c>
      <c r="H13" s="77">
        <f t="shared" si="3"/>
        <v>1.4400000000000026E-2</v>
      </c>
    </row>
    <row r="14" spans="1:8" x14ac:dyDescent="0.35">
      <c r="A14" s="52">
        <v>25</v>
      </c>
      <c r="B14" s="42">
        <v>14</v>
      </c>
      <c r="D14" s="112">
        <f>ABS(B14-$C$18)</f>
        <v>3.6000000000000014</v>
      </c>
      <c r="G14" s="113"/>
      <c r="H14" s="77">
        <f>POWER(D14-$E$18,2)</f>
        <v>4.6656000000000102</v>
      </c>
    </row>
    <row r="15" spans="1:8" x14ac:dyDescent="0.35">
      <c r="A15" s="52">
        <v>25</v>
      </c>
      <c r="B15" s="42">
        <v>18</v>
      </c>
      <c r="D15" s="112">
        <f t="shared" ref="D15:D18" si="4">ABS(B15-$C$18)</f>
        <v>0.39999999999999858</v>
      </c>
      <c r="G15" s="113"/>
      <c r="H15" s="77">
        <f t="shared" ref="H15:H18" si="5">POWER(D15-$E$18,2)</f>
        <v>1.081600000000001</v>
      </c>
    </row>
    <row r="16" spans="1:8" x14ac:dyDescent="0.35">
      <c r="A16" s="52">
        <v>25</v>
      </c>
      <c r="B16" s="42">
        <v>18</v>
      </c>
      <c r="D16" s="112">
        <f t="shared" si="4"/>
        <v>0.39999999999999858</v>
      </c>
      <c r="G16" s="113"/>
      <c r="H16" s="77">
        <f t="shared" si="5"/>
        <v>1.081600000000001</v>
      </c>
    </row>
    <row r="17" spans="1:8" x14ac:dyDescent="0.35">
      <c r="A17" s="52">
        <v>25</v>
      </c>
      <c r="B17" s="42">
        <v>19</v>
      </c>
      <c r="D17" s="112">
        <f t="shared" si="4"/>
        <v>1.3999999999999986</v>
      </c>
      <c r="G17" s="113"/>
      <c r="H17" s="77">
        <f t="shared" si="5"/>
        <v>1.6000000000000385E-3</v>
      </c>
    </row>
    <row r="18" spans="1:8" x14ac:dyDescent="0.35">
      <c r="A18" s="52">
        <v>25</v>
      </c>
      <c r="B18" s="42">
        <v>19</v>
      </c>
      <c r="C18">
        <f>AVERAGE(B14:B18)</f>
        <v>17.600000000000001</v>
      </c>
      <c r="D18" s="112">
        <f t="shared" si="4"/>
        <v>1.3999999999999986</v>
      </c>
      <c r="E18">
        <f>AVERAGE(D14:D18)</f>
        <v>1.4399999999999991</v>
      </c>
      <c r="F18">
        <v>5</v>
      </c>
      <c r="G18" s="77">
        <f>F18*POWER(E18-$D$30,2)</f>
        <v>2.366720000000007</v>
      </c>
      <c r="H18" s="77">
        <f t="shared" si="5"/>
        <v>1.6000000000000385E-3</v>
      </c>
    </row>
    <row r="19" spans="1:8" x14ac:dyDescent="0.35">
      <c r="A19" s="52">
        <v>30</v>
      </c>
      <c r="B19" s="42">
        <v>19</v>
      </c>
      <c r="D19" s="112">
        <f>ABS(B19-$C$23)</f>
        <v>2.6000000000000014</v>
      </c>
      <c r="G19" s="113"/>
      <c r="H19" s="77">
        <f>POWER(D19-$E$23,2)</f>
        <v>0.27040000000000186</v>
      </c>
    </row>
    <row r="20" spans="1:8" x14ac:dyDescent="0.35">
      <c r="A20" s="52">
        <v>30</v>
      </c>
      <c r="B20" s="42">
        <v>25</v>
      </c>
      <c r="D20" s="112">
        <f t="shared" ref="D20:D23" si="6">ABS(B20-$C$23)</f>
        <v>3.3999999999999986</v>
      </c>
      <c r="G20" s="113"/>
      <c r="H20" s="77">
        <f t="shared" ref="H20:H23" si="7">POWER(D20-$E$23,2)</f>
        <v>1.7423999999999973</v>
      </c>
    </row>
    <row r="21" spans="1:8" x14ac:dyDescent="0.35">
      <c r="A21" s="52">
        <v>30</v>
      </c>
      <c r="B21" s="42">
        <v>22</v>
      </c>
      <c r="D21" s="112">
        <f t="shared" si="6"/>
        <v>0.39999999999999858</v>
      </c>
      <c r="G21" s="113"/>
      <c r="H21" s="77">
        <f t="shared" si="7"/>
        <v>2.8224000000000036</v>
      </c>
    </row>
    <row r="22" spans="1:8" x14ac:dyDescent="0.35">
      <c r="A22" s="52">
        <v>30</v>
      </c>
      <c r="B22" s="42">
        <v>19</v>
      </c>
      <c r="D22" s="112">
        <f t="shared" si="6"/>
        <v>2.6000000000000014</v>
      </c>
      <c r="G22" s="113"/>
      <c r="H22" s="77">
        <f t="shared" si="7"/>
        <v>0.27040000000000186</v>
      </c>
    </row>
    <row r="23" spans="1:8" x14ac:dyDescent="0.35">
      <c r="A23" s="52">
        <v>30</v>
      </c>
      <c r="B23" s="42">
        <v>23</v>
      </c>
      <c r="C23">
        <f>AVERAGE(B19:B23)</f>
        <v>21.6</v>
      </c>
      <c r="D23" s="112">
        <f t="shared" si="6"/>
        <v>1.3999999999999986</v>
      </c>
      <c r="E23">
        <f>AVERAGE(D19:D23)</f>
        <v>2.0799999999999996</v>
      </c>
      <c r="F23">
        <v>5</v>
      </c>
      <c r="G23" s="77">
        <f>F23*POWER(E23-$D$30,2)</f>
        <v>1.1520000000000235E-2</v>
      </c>
      <c r="H23" s="77">
        <f t="shared" si="7"/>
        <v>0.46240000000000142</v>
      </c>
    </row>
    <row r="24" spans="1:8" x14ac:dyDescent="0.35">
      <c r="A24" s="52">
        <v>35</v>
      </c>
      <c r="B24" s="42">
        <v>7</v>
      </c>
      <c r="D24" s="112">
        <f>ABS(B24-$C$28)</f>
        <v>3.8000000000000007</v>
      </c>
      <c r="G24" s="113"/>
      <c r="H24" s="77">
        <f>POWER(D24-$E$28,2)</f>
        <v>3.8416000000000032</v>
      </c>
    </row>
    <row r="25" spans="1:8" x14ac:dyDescent="0.35">
      <c r="A25" s="52">
        <v>35</v>
      </c>
      <c r="B25" s="42">
        <v>10</v>
      </c>
      <c r="D25" s="112">
        <f t="shared" ref="D25:D28" si="8">ABS(B25-$C$28)</f>
        <v>0.80000000000000071</v>
      </c>
      <c r="G25" s="113"/>
      <c r="H25" s="77">
        <f t="shared" ref="H25:H28" si="9">POWER(D25-$E$28,2)</f>
        <v>1.0815999999999981</v>
      </c>
    </row>
    <row r="26" spans="1:8" x14ac:dyDescent="0.35">
      <c r="A26" s="52">
        <v>35</v>
      </c>
      <c r="B26" s="42">
        <v>11</v>
      </c>
      <c r="D26" s="112">
        <f t="shared" si="8"/>
        <v>0.19999999999999929</v>
      </c>
      <c r="G26" s="113"/>
      <c r="H26" s="77">
        <f t="shared" si="9"/>
        <v>2.6896000000000018</v>
      </c>
    </row>
    <row r="27" spans="1:8" x14ac:dyDescent="0.35">
      <c r="A27" s="52">
        <v>35</v>
      </c>
      <c r="B27" s="42">
        <v>15</v>
      </c>
      <c r="D27" s="112">
        <f t="shared" si="8"/>
        <v>4.1999999999999993</v>
      </c>
      <c r="G27" s="113"/>
      <c r="H27" s="77">
        <f t="shared" si="9"/>
        <v>5.5695999999999977</v>
      </c>
    </row>
    <row r="28" spans="1:8" x14ac:dyDescent="0.35">
      <c r="A28" s="52">
        <v>35</v>
      </c>
      <c r="B28" s="42">
        <v>11</v>
      </c>
      <c r="C28">
        <f>AVERAGE(B24:B28)</f>
        <v>10.8</v>
      </c>
      <c r="D28" s="112">
        <f t="shared" si="8"/>
        <v>0.19999999999999929</v>
      </c>
      <c r="E28">
        <f>AVERAGE(D24:D28)</f>
        <v>1.8399999999999999</v>
      </c>
      <c r="F28">
        <v>5</v>
      </c>
      <c r="G28" s="77">
        <f>F28*POWER(E28-$D$30,2)</f>
        <v>0.4147200000000007</v>
      </c>
      <c r="H28" s="77">
        <f t="shared" si="9"/>
        <v>2.6896000000000018</v>
      </c>
    </row>
    <row r="30" spans="1:8" ht="15" thickBot="1" x14ac:dyDescent="0.4">
      <c r="B30" s="100">
        <f>AVERAGE(B4:B28)</f>
        <v>15.04</v>
      </c>
      <c r="C30" s="77"/>
      <c r="D30" s="100">
        <f>AVERAGE(D4:D28)</f>
        <v>2.1280000000000001</v>
      </c>
      <c r="E30" s="100"/>
      <c r="F30" s="100"/>
      <c r="G30" s="100">
        <f>SUM(G4:G28)</f>
        <v>5.478400000000005</v>
      </c>
      <c r="H30" s="100">
        <f>SUM(H4:H28)</f>
        <v>42.512000000000015</v>
      </c>
    </row>
    <row r="32" spans="1:8" x14ac:dyDescent="0.35">
      <c r="C32" s="52" t="s">
        <v>126</v>
      </c>
      <c r="D32">
        <v>25</v>
      </c>
      <c r="G32" s="52" t="s">
        <v>151</v>
      </c>
      <c r="H32" s="102">
        <f>((D32-D33)*G30/((D33-1)*H30))</f>
        <v>0.64433571697403125</v>
      </c>
    </row>
    <row r="33" spans="3:8" x14ac:dyDescent="0.35">
      <c r="C33" s="52" t="s">
        <v>127</v>
      </c>
      <c r="D33">
        <v>5</v>
      </c>
      <c r="H33" s="42"/>
    </row>
    <row r="34" spans="3:8" x14ac:dyDescent="0.35">
      <c r="G34" s="52" t="s">
        <v>128</v>
      </c>
      <c r="H34" s="9">
        <f>_xlfn.F.DIST.RT(H32,D33-1,D32-D33)</f>
        <v>0.63723886142253883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BC3751-64C5-4F22-A9D9-DE2E6DC156E3}">
  <dimension ref="A1"/>
  <sheetViews>
    <sheetView workbookViewId="0">
      <selection activeCell="D20" sqref="D20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598A7A-DEBF-4EF3-9E10-1D2DBD593176}">
  <dimension ref="A1:V72"/>
  <sheetViews>
    <sheetView zoomScale="70" zoomScaleNormal="70" workbookViewId="0">
      <selection activeCell="P47" sqref="P47"/>
    </sheetView>
  </sheetViews>
  <sheetFormatPr defaultRowHeight="14.5" x14ac:dyDescent="0.35"/>
  <cols>
    <col min="6" max="6" width="10.36328125" customWidth="1"/>
    <col min="7" max="7" width="7.36328125" customWidth="1"/>
    <col min="8" max="8" width="7.08984375" customWidth="1"/>
    <col min="9" max="9" width="13.1796875" customWidth="1"/>
    <col min="11" max="11" width="10.1796875" customWidth="1"/>
    <col min="14" max="14" width="9.1796875" bestFit="1" customWidth="1"/>
    <col min="15" max="15" width="9" bestFit="1" customWidth="1"/>
    <col min="16" max="16" width="22.6328125" bestFit="1" customWidth="1"/>
    <col min="17" max="17" width="16.6328125" customWidth="1"/>
    <col min="18" max="18" width="10.36328125" bestFit="1" customWidth="1"/>
    <col min="19" max="19" width="15.90625" customWidth="1"/>
    <col min="21" max="21" width="11.81640625" bestFit="1" customWidth="1"/>
  </cols>
  <sheetData>
    <row r="1" spans="1:18" x14ac:dyDescent="0.35">
      <c r="B1" s="157" t="s">
        <v>155</v>
      </c>
      <c r="C1" s="157"/>
      <c r="D1" s="157"/>
    </row>
    <row r="2" spans="1:18" x14ac:dyDescent="0.35">
      <c r="A2" s="53" t="s">
        <v>154</v>
      </c>
      <c r="B2" s="108" t="s">
        <v>156</v>
      </c>
      <c r="C2" s="108" t="s">
        <v>157</v>
      </c>
      <c r="D2" s="108" t="s">
        <v>158</v>
      </c>
      <c r="H2" s="108" t="s">
        <v>54</v>
      </c>
      <c r="I2" s="42">
        <v>3</v>
      </c>
    </row>
    <row r="3" spans="1:18" x14ac:dyDescent="0.35">
      <c r="A3" s="130">
        <v>1</v>
      </c>
      <c r="B3" s="117">
        <v>14.3</v>
      </c>
      <c r="C3" s="118">
        <v>18.100000000000001</v>
      </c>
      <c r="D3" s="119">
        <v>17.600000000000001</v>
      </c>
      <c r="H3" s="108" t="s">
        <v>52</v>
      </c>
      <c r="I3" s="42">
        <v>2</v>
      </c>
    </row>
    <row r="4" spans="1:18" x14ac:dyDescent="0.35">
      <c r="A4" s="130"/>
      <c r="B4" s="120">
        <v>14.5</v>
      </c>
      <c r="C4" s="112">
        <v>17.600000000000001</v>
      </c>
      <c r="D4" s="121">
        <v>18.2</v>
      </c>
      <c r="H4" s="108" t="s">
        <v>162</v>
      </c>
      <c r="I4" s="42">
        <v>4</v>
      </c>
    </row>
    <row r="5" spans="1:18" x14ac:dyDescent="0.35">
      <c r="A5" s="130"/>
      <c r="B5" s="120">
        <v>11.5</v>
      </c>
      <c r="C5" s="112">
        <v>17.100000000000001</v>
      </c>
      <c r="D5" s="121">
        <v>18.899999999999999</v>
      </c>
    </row>
    <row r="6" spans="1:18" x14ac:dyDescent="0.35">
      <c r="A6" s="130"/>
      <c r="B6" s="122">
        <v>13.6</v>
      </c>
      <c r="C6" s="123">
        <v>17.600000000000001</v>
      </c>
      <c r="D6" s="124">
        <v>18.2</v>
      </c>
    </row>
    <row r="7" spans="1:18" x14ac:dyDescent="0.35">
      <c r="A7" s="130">
        <v>2</v>
      </c>
      <c r="B7" s="117">
        <v>12.6</v>
      </c>
      <c r="C7" s="118">
        <v>10.5</v>
      </c>
      <c r="D7" s="119">
        <v>15.7</v>
      </c>
      <c r="H7" s="152" t="s">
        <v>154</v>
      </c>
      <c r="I7" s="157" t="s">
        <v>155</v>
      </c>
      <c r="J7" s="157"/>
      <c r="K7" s="157"/>
      <c r="L7" s="152" t="s">
        <v>147</v>
      </c>
      <c r="N7" s="8" t="s">
        <v>163</v>
      </c>
    </row>
    <row r="8" spans="1:18" x14ac:dyDescent="0.35">
      <c r="A8" s="130"/>
      <c r="B8" s="120">
        <v>11.2</v>
      </c>
      <c r="C8" s="112">
        <v>12.8</v>
      </c>
      <c r="D8" s="121">
        <v>17.5</v>
      </c>
      <c r="H8" s="152"/>
      <c r="I8" s="108" t="s">
        <v>156</v>
      </c>
      <c r="J8" s="108" t="s">
        <v>157</v>
      </c>
      <c r="K8" s="108" t="s">
        <v>158</v>
      </c>
      <c r="L8" s="152"/>
      <c r="N8" s="12" t="s">
        <v>164</v>
      </c>
      <c r="O8" s="12" t="s">
        <v>165</v>
      </c>
      <c r="P8" s="12" t="s">
        <v>166</v>
      </c>
    </row>
    <row r="9" spans="1:18" x14ac:dyDescent="0.35">
      <c r="A9" s="130"/>
      <c r="B9" s="120">
        <v>11</v>
      </c>
      <c r="C9" s="112">
        <v>8.3000000000000007</v>
      </c>
      <c r="D9" s="121">
        <v>16.7</v>
      </c>
      <c r="H9" s="108">
        <v>1</v>
      </c>
      <c r="I9" s="2">
        <v>13.475</v>
      </c>
      <c r="J9" s="2">
        <v>17.600000000000001</v>
      </c>
      <c r="K9" s="2">
        <v>18.224999999999998</v>
      </c>
      <c r="L9" s="126">
        <f>AVERAGE(I9:K9)</f>
        <v>16.433333333333334</v>
      </c>
      <c r="N9">
        <f>L9-L11</f>
        <v>1.7958333333333343</v>
      </c>
      <c r="O9">
        <f>N9^2</f>
        <v>3.2250173611111146</v>
      </c>
      <c r="P9" s="159">
        <f>I2*I4*O11</f>
        <v>77.400416666666672</v>
      </c>
    </row>
    <row r="10" spans="1:18" x14ac:dyDescent="0.35">
      <c r="A10" s="130"/>
      <c r="B10" s="122">
        <v>12.1</v>
      </c>
      <c r="C10" s="123">
        <v>9.1</v>
      </c>
      <c r="D10" s="124">
        <v>16.600000000000001</v>
      </c>
      <c r="H10" s="108">
        <v>2</v>
      </c>
      <c r="I10" s="2">
        <v>11.725</v>
      </c>
      <c r="J10" s="2">
        <v>10.175000000000001</v>
      </c>
      <c r="K10" s="2">
        <v>16.625</v>
      </c>
      <c r="L10" s="126">
        <f>AVERAGE(I10:K10)</f>
        <v>12.841666666666667</v>
      </c>
      <c r="N10">
        <f>L10-L11</f>
        <v>-1.7958333333333325</v>
      </c>
      <c r="O10">
        <f>N10^2</f>
        <v>3.2250173611111079</v>
      </c>
      <c r="P10" s="159"/>
    </row>
    <row r="11" spans="1:18" x14ac:dyDescent="0.35">
      <c r="H11" s="125" t="s">
        <v>147</v>
      </c>
      <c r="I11" s="125">
        <f>AVERAGE(I9:I10)</f>
        <v>12.6</v>
      </c>
      <c r="J11" s="126">
        <f t="shared" ref="J11:K11" si="0">AVERAGE(J9:J10)</f>
        <v>13.887500000000001</v>
      </c>
      <c r="K11" s="126">
        <f t="shared" si="0"/>
        <v>17.424999999999997</v>
      </c>
      <c r="L11" s="136">
        <f>AVERAGE(L9:L10)</f>
        <v>14.637499999999999</v>
      </c>
      <c r="N11" s="108" t="s">
        <v>167</v>
      </c>
      <c r="O11">
        <f>SUM(O9:O10)</f>
        <v>6.4500347222222221</v>
      </c>
      <c r="P11" s="159"/>
    </row>
    <row r="13" spans="1:18" x14ac:dyDescent="0.35">
      <c r="B13" s="157" t="s">
        <v>155</v>
      </c>
      <c r="C13" s="157"/>
      <c r="D13" s="157"/>
      <c r="P13" s="2"/>
    </row>
    <row r="14" spans="1:18" x14ac:dyDescent="0.35">
      <c r="A14" s="12" t="s">
        <v>154</v>
      </c>
      <c r="B14" s="108" t="s">
        <v>156</v>
      </c>
      <c r="C14" s="108" t="s">
        <v>157</v>
      </c>
      <c r="D14" s="108" t="s">
        <v>158</v>
      </c>
      <c r="N14" s="8" t="s">
        <v>172</v>
      </c>
    </row>
    <row r="15" spans="1:18" x14ac:dyDescent="0.35">
      <c r="A15" s="155">
        <v>1</v>
      </c>
      <c r="B15" s="117">
        <v>14.3</v>
      </c>
      <c r="C15" s="118">
        <v>18.100000000000001</v>
      </c>
      <c r="D15" s="119">
        <v>17.600000000000001</v>
      </c>
      <c r="N15" s="12" t="s">
        <v>164</v>
      </c>
      <c r="O15">
        <f>I11-$L$11</f>
        <v>-2.0374999999999996</v>
      </c>
      <c r="P15">
        <f>J11-$L$11</f>
        <v>-0.74999999999999822</v>
      </c>
      <c r="Q15">
        <f>K11-$L$11</f>
        <v>2.7874999999999979</v>
      </c>
      <c r="R15" s="108" t="s">
        <v>167</v>
      </c>
    </row>
    <row r="16" spans="1:18" x14ac:dyDescent="0.35">
      <c r="A16" s="155"/>
      <c r="B16" s="120">
        <v>14.5</v>
      </c>
      <c r="C16" s="112">
        <v>17.600000000000001</v>
      </c>
      <c r="D16" s="121">
        <v>18.2</v>
      </c>
      <c r="N16" s="12" t="s">
        <v>165</v>
      </c>
      <c r="O16">
        <f>O15^2</f>
        <v>4.1514062499999982</v>
      </c>
      <c r="P16">
        <f t="shared" ref="P16:Q16" si="1">P15^2</f>
        <v>0.56249999999999734</v>
      </c>
      <c r="Q16">
        <f t="shared" si="1"/>
        <v>7.7701562499999879</v>
      </c>
      <c r="R16">
        <f>SUM(O16:Q16)</f>
        <v>12.484062499999983</v>
      </c>
    </row>
    <row r="17" spans="1:22" x14ac:dyDescent="0.35">
      <c r="A17" s="155"/>
      <c r="B17" s="120">
        <v>11.5</v>
      </c>
      <c r="C17" s="112">
        <v>17.100000000000001</v>
      </c>
      <c r="D17" s="121">
        <v>18.899999999999999</v>
      </c>
    </row>
    <row r="18" spans="1:22" x14ac:dyDescent="0.35">
      <c r="A18" s="155"/>
      <c r="B18" s="122">
        <v>13.6</v>
      </c>
      <c r="C18" s="123">
        <v>17.600000000000001</v>
      </c>
      <c r="D18" s="124">
        <v>18.2</v>
      </c>
      <c r="P18" s="12" t="s">
        <v>173</v>
      </c>
      <c r="Q18" s="138">
        <f>I3*I4*R16</f>
        <v>99.87249999999986</v>
      </c>
    </row>
    <row r="19" spans="1:22" x14ac:dyDescent="0.35">
      <c r="A19" s="125" t="s">
        <v>147</v>
      </c>
      <c r="B19" s="126">
        <f>AVERAGE(B15:B18)</f>
        <v>13.475</v>
      </c>
      <c r="C19" s="126">
        <f t="shared" ref="C19:D19" si="2">AVERAGE(C15:C18)</f>
        <v>17.600000000000001</v>
      </c>
      <c r="D19" s="126">
        <f t="shared" si="2"/>
        <v>18.224999999999998</v>
      </c>
      <c r="E19" s="9">
        <f>AVERAGE(B19:D19)</f>
        <v>16.433333333333334</v>
      </c>
      <c r="F19" s="42" t="s">
        <v>159</v>
      </c>
    </row>
    <row r="20" spans="1:22" x14ac:dyDescent="0.35">
      <c r="A20" s="158">
        <v>2</v>
      </c>
      <c r="B20" s="117">
        <v>12.6</v>
      </c>
      <c r="C20" s="118">
        <v>10.5</v>
      </c>
      <c r="D20" s="119">
        <v>15.7</v>
      </c>
    </row>
    <row r="21" spans="1:22" x14ac:dyDescent="0.35">
      <c r="A21" s="158"/>
      <c r="B21" s="120">
        <v>11.2</v>
      </c>
      <c r="C21" s="112">
        <v>12.8</v>
      </c>
      <c r="D21" s="121">
        <v>17.5</v>
      </c>
      <c r="I21" s="8" t="s">
        <v>168</v>
      </c>
    </row>
    <row r="22" spans="1:22" x14ac:dyDescent="0.35">
      <c r="A22" s="158"/>
      <c r="B22" s="120">
        <v>11</v>
      </c>
      <c r="C22" s="112">
        <v>8.3000000000000007</v>
      </c>
      <c r="D22" s="121">
        <v>16.7</v>
      </c>
    </row>
    <row r="23" spans="1:22" x14ac:dyDescent="0.35">
      <c r="A23" s="158"/>
      <c r="B23" s="122">
        <v>12.1</v>
      </c>
      <c r="C23" s="123">
        <v>9.1</v>
      </c>
      <c r="D23" s="124">
        <v>16.600000000000001</v>
      </c>
      <c r="I23" t="s">
        <v>18</v>
      </c>
      <c r="J23" t="s">
        <v>156</v>
      </c>
      <c r="K23" t="s">
        <v>157</v>
      </c>
      <c r="L23" t="s">
        <v>158</v>
      </c>
      <c r="M23" t="s">
        <v>8</v>
      </c>
    </row>
    <row r="24" spans="1:22" ht="15" thickBot="1" x14ac:dyDescent="0.4">
      <c r="A24" s="125" t="s">
        <v>147</v>
      </c>
      <c r="B24" s="126">
        <f>AVERAGE(B20:B23)</f>
        <v>11.725</v>
      </c>
      <c r="C24" s="126">
        <f t="shared" ref="C24" si="3">AVERAGE(C20:C23)</f>
        <v>10.175000000000001</v>
      </c>
      <c r="D24" s="126">
        <f t="shared" ref="D24" si="4">AVERAGE(D20:D23)</f>
        <v>16.625</v>
      </c>
      <c r="E24" s="9">
        <f>AVERAGE(B24:D24)</f>
        <v>12.841666666666667</v>
      </c>
      <c r="I24" s="132">
        <v>1</v>
      </c>
      <c r="J24" s="131"/>
      <c r="K24" s="131"/>
      <c r="L24" s="131"/>
      <c r="M24" s="131"/>
    </row>
    <row r="25" spans="1:22" ht="15" thickBot="1" x14ac:dyDescent="0.4">
      <c r="I25" s="3" t="s">
        <v>19</v>
      </c>
      <c r="J25" s="3">
        <v>4</v>
      </c>
      <c r="K25" s="3">
        <v>4</v>
      </c>
      <c r="L25" s="3">
        <v>4</v>
      </c>
      <c r="M25" s="3">
        <v>12</v>
      </c>
      <c r="P25" s="8" t="s">
        <v>31</v>
      </c>
    </row>
    <row r="26" spans="1:22" ht="15" thickBot="1" x14ac:dyDescent="0.4">
      <c r="A26" s="127" t="s">
        <v>147</v>
      </c>
      <c r="B26" s="128">
        <f>AVERAGE(B24,B19)</f>
        <v>12.6</v>
      </c>
      <c r="C26" s="128">
        <f t="shared" ref="C26:D26" si="5">AVERAGE(C24,C19)</f>
        <v>13.887500000000001</v>
      </c>
      <c r="D26" s="128">
        <f t="shared" si="5"/>
        <v>17.424999999999997</v>
      </c>
      <c r="E26" s="129">
        <f>AVERAGE(B26:D26)</f>
        <v>14.637499999999998</v>
      </c>
      <c r="F26" s="42" t="s">
        <v>160</v>
      </c>
      <c r="I26" s="3" t="s">
        <v>20</v>
      </c>
      <c r="J26" s="3">
        <v>53.9</v>
      </c>
      <c r="K26" s="3">
        <v>70.400000000000006</v>
      </c>
      <c r="L26" s="3">
        <v>72.899999999999991</v>
      </c>
      <c r="M26" s="3">
        <v>197.2</v>
      </c>
      <c r="P26" s="135" t="s">
        <v>32</v>
      </c>
      <c r="Q26" s="5" t="s">
        <v>33</v>
      </c>
      <c r="R26" s="5" t="s">
        <v>34</v>
      </c>
      <c r="S26" s="5" t="s">
        <v>35</v>
      </c>
      <c r="T26" s="5" t="s">
        <v>13</v>
      </c>
      <c r="U26" s="5" t="s">
        <v>36</v>
      </c>
      <c r="V26" s="5" t="s">
        <v>37</v>
      </c>
    </row>
    <row r="27" spans="1:22" x14ac:dyDescent="0.35">
      <c r="B27" t="s">
        <v>161</v>
      </c>
      <c r="I27" s="133" t="s">
        <v>21</v>
      </c>
      <c r="J27" s="134">
        <v>13.475</v>
      </c>
      <c r="K27" s="134">
        <v>17.600000000000001</v>
      </c>
      <c r="L27" s="134">
        <v>18.224999999999998</v>
      </c>
      <c r="M27" s="134">
        <v>16.433333333333334</v>
      </c>
      <c r="P27" s="3" t="s">
        <v>169</v>
      </c>
      <c r="Q27" s="137">
        <v>77.4004166666667</v>
      </c>
      <c r="R27" s="3">
        <v>1</v>
      </c>
      <c r="S27" s="3">
        <v>77.4004166666667</v>
      </c>
      <c r="T27" s="3">
        <v>63.334810773951624</v>
      </c>
      <c r="U27" s="3">
        <v>2.6397934713834708E-7</v>
      </c>
      <c r="V27" s="3">
        <v>4.4138734191705664</v>
      </c>
    </row>
    <row r="28" spans="1:22" x14ac:dyDescent="0.35">
      <c r="I28" s="3" t="s">
        <v>22</v>
      </c>
      <c r="J28" s="3">
        <v>1.8825000000000003</v>
      </c>
      <c r="K28" s="3">
        <v>0.16666666666666666</v>
      </c>
      <c r="L28" s="3">
        <v>0.28249999999999881</v>
      </c>
      <c r="M28" s="3">
        <v>5.4806060606060782</v>
      </c>
      <c r="P28" s="3" t="s">
        <v>39</v>
      </c>
      <c r="Q28" s="56">
        <v>99.872500000000002</v>
      </c>
      <c r="R28" s="3">
        <v>2</v>
      </c>
      <c r="S28" s="3">
        <v>49.936250000000001</v>
      </c>
      <c r="T28" s="3">
        <v>40.861575178997619</v>
      </c>
      <c r="U28" s="3">
        <v>2.0337081880077754E-7</v>
      </c>
      <c r="V28" s="3">
        <v>3.5545571456617879</v>
      </c>
    </row>
    <row r="29" spans="1:22" x14ac:dyDescent="0.35">
      <c r="I29" s="3"/>
      <c r="J29" s="3"/>
      <c r="K29" s="3"/>
      <c r="L29" s="3"/>
      <c r="M29" s="3"/>
      <c r="P29" s="3" t="s">
        <v>170</v>
      </c>
      <c r="Q29" s="142">
        <v>44.105833333333351</v>
      </c>
      <c r="R29" s="3">
        <v>2</v>
      </c>
      <c r="S29" s="3">
        <v>22.052916666666675</v>
      </c>
      <c r="T29" s="3">
        <v>18.045346062052516</v>
      </c>
      <c r="U29" s="3">
        <v>5.0043733080061527E-5</v>
      </c>
      <c r="V29" s="3">
        <v>3.5545571456617879</v>
      </c>
    </row>
    <row r="30" spans="1:22" ht="15" thickBot="1" x14ac:dyDescent="0.4">
      <c r="I30" s="132">
        <v>2</v>
      </c>
      <c r="J30" s="131"/>
      <c r="K30" s="131"/>
      <c r="L30" s="131"/>
      <c r="M30" s="131"/>
      <c r="P30" s="3" t="s">
        <v>171</v>
      </c>
      <c r="Q30" s="141">
        <v>21.997499999999999</v>
      </c>
      <c r="R30" s="3">
        <v>18</v>
      </c>
      <c r="S30" s="3">
        <v>1.2220833333333332</v>
      </c>
      <c r="T30" s="3"/>
      <c r="U30" s="3"/>
      <c r="V30" s="3"/>
    </row>
    <row r="31" spans="1:22" x14ac:dyDescent="0.35">
      <c r="I31" s="3" t="s">
        <v>19</v>
      </c>
      <c r="J31" s="3">
        <v>4</v>
      </c>
      <c r="K31" s="3">
        <v>4</v>
      </c>
      <c r="L31" s="3">
        <v>4</v>
      </c>
      <c r="M31" s="3">
        <v>12</v>
      </c>
      <c r="P31" s="3"/>
      <c r="Q31" s="3"/>
      <c r="R31" s="3"/>
      <c r="S31" s="3"/>
      <c r="T31" s="3"/>
      <c r="U31" s="3"/>
      <c r="V31" s="3"/>
    </row>
    <row r="32" spans="1:22" ht="15" thickBot="1" x14ac:dyDescent="0.4">
      <c r="I32" s="3" t="s">
        <v>20</v>
      </c>
      <c r="J32" s="3">
        <v>46.9</v>
      </c>
      <c r="K32" s="3">
        <v>40.700000000000003</v>
      </c>
      <c r="L32" s="3">
        <v>66.5</v>
      </c>
      <c r="M32" s="3">
        <v>154.1</v>
      </c>
      <c r="P32" s="4" t="s">
        <v>8</v>
      </c>
      <c r="Q32" s="47">
        <v>243.37625000000006</v>
      </c>
      <c r="R32" s="4">
        <v>23</v>
      </c>
      <c r="S32" s="4"/>
      <c r="T32" s="4"/>
      <c r="U32" s="4"/>
      <c r="V32" s="4"/>
    </row>
    <row r="33" spans="1:19" x14ac:dyDescent="0.35">
      <c r="I33" s="133" t="s">
        <v>21</v>
      </c>
      <c r="J33" s="134">
        <v>11.725</v>
      </c>
      <c r="K33" s="134">
        <v>10.175000000000001</v>
      </c>
      <c r="L33" s="134">
        <v>16.625</v>
      </c>
      <c r="M33" s="134">
        <v>12.841666666666667</v>
      </c>
    </row>
    <row r="34" spans="1:19" x14ac:dyDescent="0.35">
      <c r="I34" s="3" t="s">
        <v>22</v>
      </c>
      <c r="J34" s="3">
        <v>0.56916666666666671</v>
      </c>
      <c r="K34" s="3">
        <v>3.8891666666666538</v>
      </c>
      <c r="L34" s="3">
        <v>0.54250000000000032</v>
      </c>
      <c r="M34" s="3">
        <v>9.608106060606092</v>
      </c>
    </row>
    <row r="35" spans="1:19" x14ac:dyDescent="0.35">
      <c r="I35" s="3"/>
      <c r="J35" s="3"/>
      <c r="K35" s="3"/>
      <c r="L35" s="3"/>
      <c r="M35" s="3"/>
    </row>
    <row r="36" spans="1:19" ht="15" thickBot="1" x14ac:dyDescent="0.4">
      <c r="I36" s="132" t="s">
        <v>8</v>
      </c>
      <c r="J36" s="131"/>
      <c r="K36" s="131"/>
      <c r="L36" s="131"/>
    </row>
    <row r="37" spans="1:19" x14ac:dyDescent="0.35">
      <c r="I37" s="3" t="s">
        <v>19</v>
      </c>
      <c r="J37" s="3">
        <v>8</v>
      </c>
      <c r="K37" s="3">
        <v>8</v>
      </c>
      <c r="L37" s="3">
        <v>8</v>
      </c>
    </row>
    <row r="38" spans="1:19" x14ac:dyDescent="0.35">
      <c r="I38" s="3" t="s">
        <v>20</v>
      </c>
      <c r="J38" s="3">
        <v>100.8</v>
      </c>
      <c r="K38" s="3">
        <v>111.10000000000001</v>
      </c>
      <c r="L38" s="3">
        <v>139.39999999999998</v>
      </c>
    </row>
    <row r="39" spans="1:19" x14ac:dyDescent="0.35">
      <c r="I39" s="133" t="s">
        <v>21</v>
      </c>
      <c r="J39" s="134">
        <v>12.6</v>
      </c>
      <c r="K39" s="134">
        <v>13.887499999999999</v>
      </c>
      <c r="L39" s="134">
        <v>17.425000000000001</v>
      </c>
    </row>
    <row r="40" spans="1:19" x14ac:dyDescent="0.35">
      <c r="A40" s="8" t="s">
        <v>175</v>
      </c>
      <c r="I40" s="3" t="s">
        <v>22</v>
      </c>
      <c r="J40" s="3">
        <v>1.9257142857143208</v>
      </c>
      <c r="K40" s="3">
        <v>17.489821428571467</v>
      </c>
      <c r="L40" s="3">
        <v>1.0849999999999993</v>
      </c>
    </row>
    <row r="41" spans="1:19" x14ac:dyDescent="0.35">
      <c r="I41" s="3"/>
      <c r="J41" s="3"/>
      <c r="K41" s="3"/>
      <c r="L41" s="3"/>
    </row>
    <row r="42" spans="1:19" x14ac:dyDescent="0.35">
      <c r="B42" s="157" t="s">
        <v>155</v>
      </c>
      <c r="C42" s="157"/>
      <c r="D42" s="157"/>
    </row>
    <row r="43" spans="1:19" x14ac:dyDescent="0.35">
      <c r="A43" s="116" t="s">
        <v>154</v>
      </c>
      <c r="B43" s="115" t="s">
        <v>156</v>
      </c>
      <c r="C43" s="115" t="s">
        <v>157</v>
      </c>
      <c r="D43" s="115" t="s">
        <v>158</v>
      </c>
      <c r="F43" s="8" t="s">
        <v>174</v>
      </c>
      <c r="K43" s="8" t="s">
        <v>191</v>
      </c>
      <c r="Q43" s="8" t="s">
        <v>176</v>
      </c>
    </row>
    <row r="44" spans="1:19" x14ac:dyDescent="0.35">
      <c r="A44" s="155">
        <v>1</v>
      </c>
      <c r="B44" s="117">
        <v>14.3</v>
      </c>
      <c r="C44" s="118">
        <v>18.100000000000001</v>
      </c>
      <c r="D44" s="119">
        <v>17.600000000000001</v>
      </c>
      <c r="F44" s="34">
        <f>B44-B$48</f>
        <v>0.82500000000000107</v>
      </c>
      <c r="G44" s="34">
        <f t="shared" ref="G44:H47" si="6">C44-C$48</f>
        <v>0.5</v>
      </c>
      <c r="H44" s="34">
        <f t="shared" si="6"/>
        <v>-0.62499999999999645</v>
      </c>
      <c r="I44" s="2"/>
      <c r="K44" s="34">
        <f>F44^2</f>
        <v>0.68062500000000181</v>
      </c>
      <c r="L44" s="34">
        <f t="shared" ref="L44:M44" si="7">G44^2</f>
        <v>0.25</v>
      </c>
      <c r="M44" s="34">
        <f t="shared" si="7"/>
        <v>0.39062499999999556</v>
      </c>
      <c r="Q44" s="34">
        <f>POWER(B44-$L$11,2)</f>
        <v>0.11390624999999904</v>
      </c>
      <c r="R44" s="34">
        <f t="shared" ref="R44:S44" si="8">POWER(C44-$L$11,2)</f>
        <v>11.988906250000015</v>
      </c>
      <c r="S44" s="34">
        <f t="shared" si="8"/>
        <v>8.7764062500000133</v>
      </c>
    </row>
    <row r="45" spans="1:19" x14ac:dyDescent="0.35">
      <c r="A45" s="155"/>
      <c r="B45" s="120">
        <v>14.5</v>
      </c>
      <c r="C45" s="112">
        <v>17.600000000000001</v>
      </c>
      <c r="D45" s="121">
        <v>18.2</v>
      </c>
      <c r="F45" s="34">
        <f t="shared" ref="F45:F47" si="9">B45-B$48</f>
        <v>1.0250000000000004</v>
      </c>
      <c r="G45" s="34">
        <f t="shared" si="6"/>
        <v>0</v>
      </c>
      <c r="H45" s="34">
        <f t="shared" si="6"/>
        <v>-2.4999999999998579E-2</v>
      </c>
      <c r="I45" s="2"/>
      <c r="K45" s="34">
        <f t="shared" ref="K45:K47" si="10">F45^2</f>
        <v>1.0506250000000008</v>
      </c>
      <c r="L45" s="34">
        <f t="shared" ref="L45:L47" si="11">G45^2</f>
        <v>0</v>
      </c>
      <c r="M45" s="34">
        <f t="shared" ref="M45:M47" si="12">H45^2</f>
        <v>6.24999999999929E-4</v>
      </c>
      <c r="Q45" s="34">
        <f t="shared" ref="Q45:Q47" si="13">POWER(B45-$L$11,2)</f>
        <v>1.8906249999999805E-2</v>
      </c>
      <c r="R45" s="34">
        <f t="shared" ref="R45:R47" si="14">POWER(C45-$L$11,2)</f>
        <v>8.7764062500000133</v>
      </c>
      <c r="S45" s="34">
        <f t="shared" ref="S45:S47" si="15">POWER(D45-$L$11,2)</f>
        <v>12.69140625</v>
      </c>
    </row>
    <row r="46" spans="1:19" x14ac:dyDescent="0.35">
      <c r="A46" s="155"/>
      <c r="B46" s="120">
        <v>11.5</v>
      </c>
      <c r="C46" s="112">
        <v>17.100000000000001</v>
      </c>
      <c r="D46" s="121">
        <v>18.899999999999999</v>
      </c>
      <c r="F46" s="34">
        <f t="shared" si="9"/>
        <v>-1.9749999999999996</v>
      </c>
      <c r="G46" s="34">
        <f t="shared" si="6"/>
        <v>-0.5</v>
      </c>
      <c r="H46" s="34">
        <f t="shared" si="6"/>
        <v>0.67500000000000071</v>
      </c>
      <c r="I46" s="2"/>
      <c r="K46" s="34">
        <f t="shared" si="10"/>
        <v>3.9006249999999985</v>
      </c>
      <c r="L46" s="34">
        <f t="shared" si="11"/>
        <v>0.25</v>
      </c>
      <c r="M46" s="34">
        <f t="shared" si="12"/>
        <v>0.45562500000000095</v>
      </c>
      <c r="Q46" s="34">
        <f t="shared" si="13"/>
        <v>9.8439062499999963</v>
      </c>
      <c r="R46" s="34">
        <f t="shared" si="14"/>
        <v>6.0639062500000103</v>
      </c>
      <c r="S46" s="34">
        <f t="shared" si="15"/>
        <v>18.168906249999996</v>
      </c>
    </row>
    <row r="47" spans="1:19" x14ac:dyDescent="0.35">
      <c r="A47" s="155"/>
      <c r="B47" s="122">
        <v>13.6</v>
      </c>
      <c r="C47" s="123">
        <v>17.600000000000001</v>
      </c>
      <c r="D47" s="124">
        <v>18.2</v>
      </c>
      <c r="F47" s="34">
        <f t="shared" si="9"/>
        <v>0.125</v>
      </c>
      <c r="G47" s="34">
        <f t="shared" si="6"/>
        <v>0</v>
      </c>
      <c r="H47" s="34">
        <f t="shared" si="6"/>
        <v>-2.4999999999998579E-2</v>
      </c>
      <c r="I47" s="2"/>
      <c r="K47" s="34">
        <f t="shared" si="10"/>
        <v>1.5625E-2</v>
      </c>
      <c r="L47" s="34">
        <f t="shared" si="11"/>
        <v>0</v>
      </c>
      <c r="M47" s="34">
        <f t="shared" si="12"/>
        <v>6.24999999999929E-4</v>
      </c>
      <c r="Q47" s="34">
        <f t="shared" si="13"/>
        <v>1.0764062499999993</v>
      </c>
      <c r="R47" s="34">
        <f t="shared" si="14"/>
        <v>8.7764062500000133</v>
      </c>
      <c r="S47" s="34">
        <f t="shared" si="15"/>
        <v>12.69140625</v>
      </c>
    </row>
    <row r="48" spans="1:19" x14ac:dyDescent="0.35">
      <c r="A48" s="125" t="s">
        <v>147</v>
      </c>
      <c r="B48" s="126">
        <v>13.475</v>
      </c>
      <c r="C48" s="126">
        <v>17.600000000000001</v>
      </c>
      <c r="D48" s="126">
        <v>18.224999999999998</v>
      </c>
      <c r="Q48" s="2"/>
      <c r="R48" s="2"/>
      <c r="S48" s="2"/>
    </row>
    <row r="49" spans="1:21" x14ac:dyDescent="0.35">
      <c r="A49" s="158">
        <v>2</v>
      </c>
      <c r="B49" s="117">
        <v>12.6</v>
      </c>
      <c r="C49" s="118">
        <v>10.5</v>
      </c>
      <c r="D49" s="119">
        <v>15.7</v>
      </c>
      <c r="F49" s="34">
        <f>B49-B$53</f>
        <v>0.875</v>
      </c>
      <c r="G49" s="34">
        <f t="shared" ref="G49:H49" si="16">C49-C$53</f>
        <v>0.32499999999999929</v>
      </c>
      <c r="H49" s="34">
        <f t="shared" si="16"/>
        <v>-0.92500000000000071</v>
      </c>
      <c r="I49" s="2"/>
      <c r="K49" s="34">
        <f>F49^2</f>
        <v>0.765625</v>
      </c>
      <c r="L49" s="34">
        <f t="shared" ref="L49:M49" si="17">G49^2</f>
        <v>0.10562499999999954</v>
      </c>
      <c r="M49" s="34">
        <f t="shared" si="17"/>
        <v>0.8556250000000013</v>
      </c>
      <c r="Q49" s="34">
        <f>POWER(B49-$L$11,2)</f>
        <v>4.1514062499999982</v>
      </c>
      <c r="R49" s="34">
        <f t="shared" ref="R49:S49" si="18">POWER(C49-$L$11,2)</f>
        <v>17.118906249999995</v>
      </c>
      <c r="S49" s="34">
        <f t="shared" si="18"/>
        <v>1.12890625</v>
      </c>
    </row>
    <row r="50" spans="1:21" x14ac:dyDescent="0.35">
      <c r="A50" s="158"/>
      <c r="B50" s="120">
        <v>11.2</v>
      </c>
      <c r="C50" s="112">
        <v>12.8</v>
      </c>
      <c r="D50" s="121">
        <v>17.5</v>
      </c>
      <c r="F50" s="34">
        <f t="shared" ref="F50:F52" si="19">B50-B$53</f>
        <v>-0.52500000000000036</v>
      </c>
      <c r="G50" s="34">
        <f t="shared" ref="G50:G52" si="20">C50-C$53</f>
        <v>2.625</v>
      </c>
      <c r="H50" s="34">
        <f t="shared" ref="H50:H52" si="21">D50-D$53</f>
        <v>0.875</v>
      </c>
      <c r="I50" s="2"/>
      <c r="K50" s="34">
        <f t="shared" ref="K50:K52" si="22">F50^2</f>
        <v>0.2756250000000004</v>
      </c>
      <c r="L50" s="34">
        <f t="shared" ref="L50:L52" si="23">G50^2</f>
        <v>6.890625</v>
      </c>
      <c r="M50" s="34">
        <f t="shared" ref="M50:M52" si="24">H50^2</f>
        <v>0.765625</v>
      </c>
      <c r="Q50" s="34">
        <f t="shared" ref="Q50:Q52" si="25">POWER(B50-$L$11,2)</f>
        <v>11.81640625</v>
      </c>
      <c r="R50" s="34">
        <f t="shared" ref="R50:R52" si="26">POWER(C50-$L$11,2)</f>
        <v>3.3764062499999947</v>
      </c>
      <c r="S50" s="34">
        <f t="shared" ref="S50:S52" si="27">POWER(D50-$L$11,2)</f>
        <v>8.1939062500000048</v>
      </c>
    </row>
    <row r="51" spans="1:21" x14ac:dyDescent="0.35">
      <c r="A51" s="158"/>
      <c r="B51" s="120">
        <v>11</v>
      </c>
      <c r="C51" s="112">
        <v>8.3000000000000007</v>
      </c>
      <c r="D51" s="121">
        <v>16.7</v>
      </c>
      <c r="F51" s="34">
        <f t="shared" si="19"/>
        <v>-0.72499999999999964</v>
      </c>
      <c r="G51" s="34">
        <f t="shared" si="20"/>
        <v>-1.875</v>
      </c>
      <c r="H51" s="34">
        <f t="shared" si="21"/>
        <v>7.4999999999999289E-2</v>
      </c>
      <c r="I51" s="2"/>
      <c r="K51" s="34">
        <f t="shared" si="22"/>
        <v>0.52562499999999945</v>
      </c>
      <c r="L51" s="34">
        <f t="shared" si="23"/>
        <v>3.515625</v>
      </c>
      <c r="M51" s="34">
        <f t="shared" si="24"/>
        <v>5.6249999999998931E-3</v>
      </c>
      <c r="Q51" s="34">
        <f t="shared" si="25"/>
        <v>13.231406249999996</v>
      </c>
      <c r="R51" s="34">
        <f t="shared" si="26"/>
        <v>40.163906249999982</v>
      </c>
      <c r="S51" s="34">
        <f t="shared" si="27"/>
        <v>4.25390625</v>
      </c>
    </row>
    <row r="52" spans="1:21" x14ac:dyDescent="0.35">
      <c r="A52" s="158"/>
      <c r="B52" s="122">
        <v>12.1</v>
      </c>
      <c r="C52" s="123">
        <v>9.1</v>
      </c>
      <c r="D52" s="124">
        <v>16.600000000000001</v>
      </c>
      <c r="F52" s="34">
        <f t="shared" si="19"/>
        <v>0.375</v>
      </c>
      <c r="G52" s="34">
        <f t="shared" si="20"/>
        <v>-1.0750000000000011</v>
      </c>
      <c r="H52" s="34">
        <f t="shared" si="21"/>
        <v>-2.4999999999998579E-2</v>
      </c>
      <c r="I52" s="2"/>
      <c r="K52" s="34">
        <f t="shared" si="22"/>
        <v>0.140625</v>
      </c>
      <c r="L52" s="34">
        <f t="shared" si="23"/>
        <v>1.1556250000000023</v>
      </c>
      <c r="M52" s="34">
        <f t="shared" si="24"/>
        <v>6.24999999999929E-4</v>
      </c>
      <c r="Q52" s="34">
        <f t="shared" si="25"/>
        <v>6.4389062499999978</v>
      </c>
      <c r="R52" s="34">
        <f t="shared" si="26"/>
        <v>30.663906249999997</v>
      </c>
      <c r="S52" s="34">
        <f t="shared" si="27"/>
        <v>3.8514062500000086</v>
      </c>
    </row>
    <row r="53" spans="1:21" x14ac:dyDescent="0.35">
      <c r="A53" s="125" t="s">
        <v>147</v>
      </c>
      <c r="B53" s="126">
        <v>11.725</v>
      </c>
      <c r="C53" s="126">
        <v>10.175000000000001</v>
      </c>
      <c r="D53" s="126">
        <v>16.625</v>
      </c>
      <c r="F53" s="2"/>
      <c r="G53" s="2"/>
      <c r="H53" s="2"/>
      <c r="I53" s="2"/>
      <c r="N53" s="8" t="s">
        <v>44</v>
      </c>
      <c r="O53" s="141">
        <f>SUM(K44:M52)</f>
        <v>21.997499999999995</v>
      </c>
      <c r="T53" s="8" t="s">
        <v>44</v>
      </c>
      <c r="U53" s="47">
        <f>SUM(Q44:S52)</f>
        <v>243.37625000000003</v>
      </c>
    </row>
    <row r="57" spans="1:21" x14ac:dyDescent="0.35">
      <c r="A57" s="8" t="s">
        <v>190</v>
      </c>
    </row>
    <row r="58" spans="1:21" x14ac:dyDescent="0.35">
      <c r="A58" s="152" t="s">
        <v>154</v>
      </c>
      <c r="B58" s="157" t="s">
        <v>155</v>
      </c>
      <c r="C58" s="157"/>
      <c r="D58" s="157"/>
      <c r="E58" s="152" t="s">
        <v>147</v>
      </c>
    </row>
    <row r="59" spans="1:21" x14ac:dyDescent="0.35">
      <c r="A59" s="152"/>
      <c r="B59" s="115" t="s">
        <v>156</v>
      </c>
      <c r="C59" s="115" t="s">
        <v>157</v>
      </c>
      <c r="D59" s="115" t="s">
        <v>158</v>
      </c>
      <c r="E59" s="152"/>
      <c r="G59" s="8" t="s">
        <v>177</v>
      </c>
    </row>
    <row r="60" spans="1:21" x14ac:dyDescent="0.35">
      <c r="A60" s="115">
        <v>1</v>
      </c>
      <c r="B60" s="2">
        <v>13.475</v>
      </c>
      <c r="C60" s="2">
        <v>17.600000000000001</v>
      </c>
      <c r="D60" s="2">
        <v>18.224999999999998</v>
      </c>
      <c r="E60" s="126">
        <f>AVERAGE(B60:D60)</f>
        <v>16.433333333333334</v>
      </c>
      <c r="G60" s="140">
        <f>B60-$E60-B$62+$E$62</f>
        <v>-0.92083333333333428</v>
      </c>
      <c r="H60" s="140">
        <f t="shared" ref="H60:I60" si="28">C60-$E60-C$62+$E$62</f>
        <v>1.9166666666666661</v>
      </c>
      <c r="I60" s="140">
        <f t="shared" si="28"/>
        <v>-0.99583333333333357</v>
      </c>
    </row>
    <row r="61" spans="1:21" x14ac:dyDescent="0.35">
      <c r="A61" s="115">
        <v>2</v>
      </c>
      <c r="B61" s="2">
        <v>11.725</v>
      </c>
      <c r="C61" s="2">
        <v>10.175000000000001</v>
      </c>
      <c r="D61" s="2">
        <v>16.625</v>
      </c>
      <c r="E61" s="126">
        <f>AVERAGE(B61:D61)</f>
        <v>12.841666666666667</v>
      </c>
      <c r="G61" s="140">
        <f>B61-$E61-B$62+$E$62</f>
        <v>0.9208333333333325</v>
      </c>
      <c r="H61" s="140">
        <f t="shared" ref="H61" si="29">C61-$E61-C$62+$E$62</f>
        <v>-1.9166666666666679</v>
      </c>
      <c r="I61" s="140">
        <f t="shared" ref="I61" si="30">D61-$E61-D$62+$E$62</f>
        <v>0.99583333333333535</v>
      </c>
    </row>
    <row r="62" spans="1:21" x14ac:dyDescent="0.35">
      <c r="A62" s="125" t="s">
        <v>147</v>
      </c>
      <c r="B62" s="125">
        <f>AVERAGE(B60:B61)</f>
        <v>12.6</v>
      </c>
      <c r="C62" s="126">
        <f t="shared" ref="C62:D62" si="31">AVERAGE(C60:C61)</f>
        <v>13.887500000000001</v>
      </c>
      <c r="D62" s="126">
        <f t="shared" si="31"/>
        <v>17.424999999999997</v>
      </c>
      <c r="E62" s="136">
        <f>AVERAGE(E60:E61)</f>
        <v>14.637499999999999</v>
      </c>
    </row>
    <row r="63" spans="1:21" x14ac:dyDescent="0.35">
      <c r="G63" s="8" t="s">
        <v>165</v>
      </c>
      <c r="P63" s="8" t="s">
        <v>31</v>
      </c>
    </row>
    <row r="64" spans="1:21" ht="15" thickBot="1" x14ac:dyDescent="0.4">
      <c r="G64" s="140">
        <f>G60^2</f>
        <v>0.84793402777777949</v>
      </c>
      <c r="H64" s="140">
        <f t="shared" ref="H64:I65" si="32">H60^2</f>
        <v>3.6736111111111089</v>
      </c>
      <c r="I64" s="140">
        <f t="shared" si="32"/>
        <v>0.9916840277777782</v>
      </c>
      <c r="P64" s="144" t="s">
        <v>178</v>
      </c>
      <c r="Q64" s="144" t="s">
        <v>10</v>
      </c>
      <c r="R64" s="144" t="s">
        <v>181</v>
      </c>
      <c r="S64" s="144" t="s">
        <v>12</v>
      </c>
      <c r="T64" s="144" t="s">
        <v>13</v>
      </c>
      <c r="U64" s="144" t="s">
        <v>182</v>
      </c>
    </row>
    <row r="65" spans="6:21" x14ac:dyDescent="0.35">
      <c r="G65" s="140">
        <f>G61^2</f>
        <v>0.84793402777777627</v>
      </c>
      <c r="H65" s="140">
        <f t="shared" si="32"/>
        <v>3.6736111111111156</v>
      </c>
      <c r="I65" s="140">
        <f t="shared" si="32"/>
        <v>0.99168402777778175</v>
      </c>
      <c r="K65" s="8" t="s">
        <v>183</v>
      </c>
      <c r="N65" t="s">
        <v>184</v>
      </c>
      <c r="P65" s="42" t="s">
        <v>154</v>
      </c>
      <c r="Q65" s="139">
        <f>P9</f>
        <v>77.400416666666672</v>
      </c>
      <c r="R65">
        <f>I3-1</f>
        <v>1</v>
      </c>
      <c r="S65">
        <f>Q65/R65</f>
        <v>77.400416666666672</v>
      </c>
      <c r="T65">
        <f>S65/$S$68</f>
        <v>63.33481077395161</v>
      </c>
      <c r="U65">
        <f>_xlfn.F.DIST.RT(T65,R65,$R$68)</f>
        <v>2.6397934713834756E-7</v>
      </c>
    </row>
    <row r="66" spans="6:21" x14ac:dyDescent="0.35">
      <c r="K66" s="8" t="s">
        <v>185</v>
      </c>
      <c r="N66" t="s">
        <v>186</v>
      </c>
      <c r="P66" s="42" t="s">
        <v>179</v>
      </c>
      <c r="Q66">
        <f>Q18</f>
        <v>99.87249999999986</v>
      </c>
      <c r="R66">
        <f>I2-1</f>
        <v>2</v>
      </c>
      <c r="S66">
        <f t="shared" ref="S66:S68" si="33">Q66/R66</f>
        <v>49.93624999999993</v>
      </c>
      <c r="T66">
        <f t="shared" ref="T66:T67" si="34">S66/$S$68</f>
        <v>40.861575178997569</v>
      </c>
      <c r="U66">
        <f t="shared" ref="U66:U67" si="35">_xlfn.F.DIST.RT(T66,R66,$R$68)</f>
        <v>2.0337081880077971E-7</v>
      </c>
    </row>
    <row r="67" spans="6:21" x14ac:dyDescent="0.35">
      <c r="F67" s="8" t="s">
        <v>44</v>
      </c>
      <c r="G67" s="2">
        <f>SUM(G64:I65)</f>
        <v>11.026458333333339</v>
      </c>
      <c r="K67" s="8" t="s">
        <v>187</v>
      </c>
      <c r="N67" t="s">
        <v>188</v>
      </c>
      <c r="P67" s="42" t="s">
        <v>189</v>
      </c>
      <c r="Q67">
        <f>G68</f>
        <v>44.105833333333358</v>
      </c>
      <c r="R67">
        <f>R66*R65</f>
        <v>2</v>
      </c>
      <c r="S67">
        <f t="shared" si="33"/>
        <v>22.052916666666679</v>
      </c>
      <c r="T67">
        <f t="shared" si="34"/>
        <v>18.04534606205252</v>
      </c>
      <c r="U67">
        <f t="shared" si="35"/>
        <v>5.0043733080061527E-5</v>
      </c>
    </row>
    <row r="68" spans="6:21" x14ac:dyDescent="0.35">
      <c r="F68" s="8" t="s">
        <v>192</v>
      </c>
      <c r="G68" s="142">
        <f>G67*I4</f>
        <v>44.105833333333358</v>
      </c>
      <c r="P68" s="42" t="s">
        <v>180</v>
      </c>
      <c r="Q68" s="139">
        <f>O53</f>
        <v>21.997499999999995</v>
      </c>
      <c r="R68">
        <f>I3*I2*(I4-1)</f>
        <v>18</v>
      </c>
      <c r="S68">
        <f t="shared" si="33"/>
        <v>1.222083333333333</v>
      </c>
    </row>
    <row r="70" spans="6:21" ht="15" thickBot="1" x14ac:dyDescent="0.4">
      <c r="P70" s="145" t="s">
        <v>8</v>
      </c>
      <c r="Q70" s="146">
        <f>SUM(Q65:Q68)</f>
        <v>243.37624999999989</v>
      </c>
      <c r="R70" s="146">
        <f>SUM(R65:R68)</f>
        <v>23</v>
      </c>
      <c r="S70" s="146"/>
      <c r="T70" s="146"/>
      <c r="U70" s="146"/>
    </row>
    <row r="72" spans="6:21" x14ac:dyDescent="0.35">
      <c r="P72" s="114" t="s">
        <v>48</v>
      </c>
      <c r="Q72" s="143">
        <f>SUM(Q65:Q66)/Q70</f>
        <v>0.72839036950674774</v>
      </c>
    </row>
  </sheetData>
  <mergeCells count="14">
    <mergeCell ref="L7:L8"/>
    <mergeCell ref="P9:P11"/>
    <mergeCell ref="E58:E59"/>
    <mergeCell ref="B1:D1"/>
    <mergeCell ref="B13:D13"/>
    <mergeCell ref="A15:A18"/>
    <mergeCell ref="H7:H8"/>
    <mergeCell ref="I7:K7"/>
    <mergeCell ref="A58:A59"/>
    <mergeCell ref="B58:D58"/>
    <mergeCell ref="A20:A23"/>
    <mergeCell ref="B42:D42"/>
    <mergeCell ref="A44:A47"/>
    <mergeCell ref="A49:A52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F61750-9F7C-47A4-9E99-DE896C867173}">
  <dimension ref="A1"/>
  <sheetViews>
    <sheetView workbookViewId="0">
      <selection activeCell="S40" sqref="S40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4CA0E2-4BC2-4CAD-AE3C-745A1BEB8C63}">
  <dimension ref="A1:Q62"/>
  <sheetViews>
    <sheetView zoomScale="85" zoomScaleNormal="85" workbookViewId="0">
      <selection activeCell="E32" sqref="E32"/>
    </sheetView>
  </sheetViews>
  <sheetFormatPr defaultRowHeight="14.5" x14ac:dyDescent="0.35"/>
  <cols>
    <col min="1" max="1" width="19.81640625" bestFit="1" customWidth="1"/>
    <col min="2" max="2" width="18.81640625" customWidth="1"/>
    <col min="3" max="3" width="17.6328125" bestFit="1" customWidth="1"/>
    <col min="4" max="4" width="16.81640625" bestFit="1" customWidth="1"/>
    <col min="5" max="5" width="15.1796875" bestFit="1" customWidth="1"/>
    <col min="6" max="6" width="14.6328125" bestFit="1" customWidth="1"/>
    <col min="7" max="7" width="14.81640625" bestFit="1" customWidth="1"/>
    <col min="8" max="8" width="10.36328125" bestFit="1" customWidth="1"/>
    <col min="9" max="9" width="17.36328125" bestFit="1" customWidth="1"/>
  </cols>
  <sheetData>
    <row r="1" spans="1:17" ht="23.5" x14ac:dyDescent="0.55000000000000004">
      <c r="B1" s="147" t="s">
        <v>43</v>
      </c>
      <c r="C1" s="147"/>
      <c r="D1" s="147"/>
      <c r="E1" s="13"/>
      <c r="I1" s="44" t="s">
        <v>76</v>
      </c>
    </row>
    <row r="2" spans="1:17" x14ac:dyDescent="0.35">
      <c r="A2" s="11" t="s">
        <v>0</v>
      </c>
      <c r="B2" s="12" t="s">
        <v>42</v>
      </c>
      <c r="C2" s="12" t="s">
        <v>1</v>
      </c>
      <c r="D2" s="12" t="s">
        <v>2</v>
      </c>
      <c r="E2" s="16" t="s">
        <v>3</v>
      </c>
      <c r="F2" s="150" t="s">
        <v>6</v>
      </c>
    </row>
    <row r="3" spans="1:17" x14ac:dyDescent="0.35">
      <c r="A3" s="10">
        <v>1</v>
      </c>
      <c r="B3" s="14">
        <v>3.74</v>
      </c>
      <c r="C3" s="15">
        <v>4.47</v>
      </c>
      <c r="D3" s="14">
        <v>5.65</v>
      </c>
      <c r="E3" s="18">
        <f>AVERAGE(B3:D3)</f>
        <v>4.62</v>
      </c>
      <c r="F3" s="150"/>
      <c r="G3" s="9">
        <f>POWER(E3-$F$9,2)</f>
        <v>0.79328711111110883</v>
      </c>
      <c r="I3" s="23" t="s">
        <v>44</v>
      </c>
      <c r="J3">
        <f>SUM(G3:G7)</f>
        <v>2.1436311111111119</v>
      </c>
      <c r="Q3" t="s">
        <v>6</v>
      </c>
    </row>
    <row r="4" spans="1:17" x14ac:dyDescent="0.35">
      <c r="A4" s="10">
        <v>2</v>
      </c>
      <c r="B4" s="14">
        <v>4.58</v>
      </c>
      <c r="C4" s="15">
        <v>6.78</v>
      </c>
      <c r="D4" s="14">
        <v>7</v>
      </c>
      <c r="E4" s="18">
        <f>AVERAGE(B4:D4)</f>
        <v>6.12</v>
      </c>
      <c r="F4" s="150"/>
      <c r="G4" s="9">
        <f>POWER(E4-$F$9,2)</f>
        <v>0.37128711111111268</v>
      </c>
      <c r="I4" s="23" t="s">
        <v>45</v>
      </c>
      <c r="J4" s="28">
        <f>J3*COUNTA(B2:D2)</f>
        <v>6.4308933333333353</v>
      </c>
    </row>
    <row r="5" spans="1:17" x14ac:dyDescent="0.35">
      <c r="A5" s="10">
        <v>3</v>
      </c>
      <c r="B5" s="14">
        <v>4.58</v>
      </c>
      <c r="C5" s="15">
        <v>5.19</v>
      </c>
      <c r="D5" s="14">
        <v>6.08</v>
      </c>
      <c r="E5" s="18">
        <f>AVERAGE(B5:D5)</f>
        <v>5.2833333333333332</v>
      </c>
      <c r="F5" s="150"/>
      <c r="G5" s="9">
        <f>POWER(E5-$F$9,2)</f>
        <v>5.1680444444443967E-2</v>
      </c>
    </row>
    <row r="6" spans="1:17" x14ac:dyDescent="0.35">
      <c r="A6" s="10">
        <v>4</v>
      </c>
      <c r="B6" s="14">
        <v>4.47</v>
      </c>
      <c r="C6" s="15">
        <v>5.19</v>
      </c>
      <c r="D6" s="14">
        <v>5.74</v>
      </c>
      <c r="E6" s="18">
        <f>AVERAGE(B6:D6)</f>
        <v>5.1333333333333337</v>
      </c>
      <c r="F6" s="150"/>
      <c r="G6" s="9">
        <f>POWER(E6-$F$9,2)</f>
        <v>0.14238044444444325</v>
      </c>
    </row>
    <row r="7" spans="1:17" x14ac:dyDescent="0.35">
      <c r="A7" s="10">
        <v>5</v>
      </c>
      <c r="B7" s="14">
        <v>4.79</v>
      </c>
      <c r="C7" s="15">
        <v>6.85</v>
      </c>
      <c r="D7" s="14">
        <v>7.55</v>
      </c>
      <c r="E7" s="18">
        <f>AVERAGE(B7:D7)</f>
        <v>6.3966666666666674</v>
      </c>
      <c r="F7" s="150"/>
      <c r="G7" s="9">
        <f>POWER(E7-$F$9,2)</f>
        <v>0.78499600000000336</v>
      </c>
    </row>
    <row r="8" spans="1:17" x14ac:dyDescent="0.35">
      <c r="A8" s="17" t="s">
        <v>4</v>
      </c>
      <c r="B8" s="20">
        <f>AVERAGE(B3:B7)</f>
        <v>4.4320000000000004</v>
      </c>
      <c r="C8" s="20">
        <f>AVERAGE(C3:C7)</f>
        <v>5.6960000000000006</v>
      </c>
      <c r="D8" s="20">
        <f>AVERAGE(D3:D7)</f>
        <v>6.403999999999999</v>
      </c>
    </row>
    <row r="9" spans="1:17" x14ac:dyDescent="0.35">
      <c r="B9" s="149" t="s">
        <v>7</v>
      </c>
      <c r="C9" s="149"/>
      <c r="D9" s="149"/>
      <c r="F9" s="1">
        <f>AVERAGE(B3:D7)</f>
        <v>5.5106666666666655</v>
      </c>
      <c r="G9" s="17" t="s">
        <v>5</v>
      </c>
    </row>
    <row r="10" spans="1:17" x14ac:dyDescent="0.35">
      <c r="B10" s="2">
        <f>POWER(B8-$F$9,2)</f>
        <v>1.1635217777777744</v>
      </c>
      <c r="C10" s="2">
        <f>POWER(C8-$F$9,2)</f>
        <v>3.4348444444445111E-2</v>
      </c>
      <c r="D10" s="2">
        <f>POWER(D8-$F$9,2)</f>
        <v>0.79804444444444478</v>
      </c>
    </row>
    <row r="12" spans="1:17" x14ac:dyDescent="0.35">
      <c r="B12" s="23" t="s">
        <v>44</v>
      </c>
      <c r="C12" s="24">
        <f>SUM(B10:D10)</f>
        <v>1.9959146666666643</v>
      </c>
    </row>
    <row r="13" spans="1:17" x14ac:dyDescent="0.35">
      <c r="B13" s="23" t="s">
        <v>45</v>
      </c>
      <c r="C13" s="25">
        <f>C12*A7</f>
        <v>9.9795733333333221</v>
      </c>
    </row>
    <row r="16" spans="1:17" x14ac:dyDescent="0.35">
      <c r="A16" s="23"/>
    </row>
    <row r="17" spans="1:8" x14ac:dyDescent="0.35">
      <c r="A17" s="23"/>
    </row>
    <row r="18" spans="1:8" x14ac:dyDescent="0.35">
      <c r="B18" s="148" t="s">
        <v>46</v>
      </c>
      <c r="C18" s="148"/>
      <c r="D18" s="148"/>
      <c r="F18" s="148" t="s">
        <v>47</v>
      </c>
      <c r="G18" s="148"/>
      <c r="H18" s="148"/>
    </row>
    <row r="19" spans="1:8" x14ac:dyDescent="0.35">
      <c r="B19" s="34">
        <f t="shared" ref="B19:D23" si="0">POWER(B3-$F$9,2)</f>
        <v>3.1352604444444396</v>
      </c>
      <c r="C19" s="34">
        <f t="shared" si="0"/>
        <v>1.0829871111111091</v>
      </c>
      <c r="D19" s="34">
        <f t="shared" si="0"/>
        <v>1.9413777777778203E-2</v>
      </c>
      <c r="F19" s="33">
        <f t="shared" ref="F19:H23" si="1">POWER(B3-B$8-$E3+$F$9,2)</f>
        <v>3.9468444444443869E-2</v>
      </c>
      <c r="G19" s="33">
        <f t="shared" si="1"/>
        <v>0.11244844444444589</v>
      </c>
      <c r="H19" s="33">
        <f t="shared" si="1"/>
        <v>1.867777777777779E-2</v>
      </c>
    </row>
    <row r="20" spans="1:8" x14ac:dyDescent="0.35">
      <c r="B20" s="34">
        <f t="shared" si="0"/>
        <v>0.86614044444444216</v>
      </c>
      <c r="C20" s="34">
        <f t="shared" si="0"/>
        <v>1.6112071111111148</v>
      </c>
      <c r="D20" s="34">
        <f t="shared" si="0"/>
        <v>2.2181137777777811</v>
      </c>
      <c r="F20" s="33">
        <f t="shared" si="1"/>
        <v>0.2128284444444459</v>
      </c>
      <c r="G20" s="33">
        <f t="shared" si="1"/>
        <v>0.22530844444444287</v>
      </c>
      <c r="H20" s="33">
        <f t="shared" si="1"/>
        <v>1.77777777777786E-4</v>
      </c>
    </row>
    <row r="21" spans="1:8" x14ac:dyDescent="0.35">
      <c r="B21" s="34">
        <f t="shared" si="0"/>
        <v>0.86614044444444216</v>
      </c>
      <c r="C21" s="34">
        <f t="shared" si="0"/>
        <v>0.10282711111111011</v>
      </c>
      <c r="D21" s="34">
        <f t="shared" si="0"/>
        <v>0.32414044444444584</v>
      </c>
      <c r="F21" s="33">
        <f t="shared" si="1"/>
        <v>0.14087511111111009</v>
      </c>
      <c r="G21" s="33">
        <f t="shared" si="1"/>
        <v>7.7655111111111827E-2</v>
      </c>
      <c r="H21" s="33">
        <f t="shared" si="1"/>
        <v>9.3444444444444469E-3</v>
      </c>
    </row>
    <row r="22" spans="1:8" x14ac:dyDescent="0.35">
      <c r="B22" s="34">
        <f t="shared" si="0"/>
        <v>1.0829871111111091</v>
      </c>
      <c r="C22" s="34">
        <f t="shared" si="0"/>
        <v>0.10282711111111011</v>
      </c>
      <c r="D22" s="34">
        <f t="shared" si="0"/>
        <v>5.2593777777778412E-2</v>
      </c>
      <c r="F22" s="33">
        <f t="shared" si="1"/>
        <v>0.17250177777777592</v>
      </c>
      <c r="G22" s="33">
        <f t="shared" si="1"/>
        <v>1.6555111111111579E-2</v>
      </c>
      <c r="H22" s="33">
        <f t="shared" si="1"/>
        <v>8.2177777777778002E-2</v>
      </c>
    </row>
    <row r="23" spans="1:8" x14ac:dyDescent="0.35">
      <c r="B23" s="34">
        <f t="shared" si="0"/>
        <v>0.51936044444444274</v>
      </c>
      <c r="C23" s="34">
        <f t="shared" si="0"/>
        <v>1.7938137777777801</v>
      </c>
      <c r="D23" s="34">
        <f t="shared" si="0"/>
        <v>4.1588804444444483</v>
      </c>
      <c r="F23" s="33">
        <f t="shared" si="1"/>
        <v>0.27878400000000236</v>
      </c>
      <c r="G23" s="33">
        <f t="shared" si="1"/>
        <v>7.1823999999998459E-2</v>
      </c>
      <c r="H23" s="33">
        <f t="shared" si="1"/>
        <v>6.7599999999999424E-2</v>
      </c>
    </row>
    <row r="25" spans="1:8" x14ac:dyDescent="0.35">
      <c r="B25" s="31">
        <f>SUM(B19:D23)</f>
        <v>17.936693333333331</v>
      </c>
      <c r="F25" s="35">
        <f>SUM(F19:H23)</f>
        <v>1.5262266666666662</v>
      </c>
    </row>
    <row r="28" spans="1:8" x14ac:dyDescent="0.35">
      <c r="B28" s="39" t="s">
        <v>31</v>
      </c>
    </row>
    <row r="29" spans="1:8" x14ac:dyDescent="0.35">
      <c r="B29" s="38" t="s">
        <v>9</v>
      </c>
      <c r="C29" s="38" t="s">
        <v>10</v>
      </c>
      <c r="D29" s="38" t="s">
        <v>11</v>
      </c>
      <c r="E29" s="38" t="s">
        <v>12</v>
      </c>
      <c r="F29" s="38" t="s">
        <v>13</v>
      </c>
      <c r="G29" s="38" t="s">
        <v>14</v>
      </c>
    </row>
    <row r="30" spans="1:8" x14ac:dyDescent="0.35">
      <c r="B30" t="s">
        <v>15</v>
      </c>
      <c r="C30" s="26">
        <f>C13</f>
        <v>9.9795733333333221</v>
      </c>
      <c r="D30">
        <f>COUNTA(B2:D2)-1</f>
        <v>2</v>
      </c>
      <c r="E30">
        <f>C30/D30</f>
        <v>4.989786666666661</v>
      </c>
      <c r="F30">
        <f>E30/$E$32</f>
        <v>26.154891802877664</v>
      </c>
      <c r="G30" s="48">
        <f>_xlfn.F.DIST.RT(F30,D30,D32)</f>
        <v>3.0960564259579023E-4</v>
      </c>
    </row>
    <row r="31" spans="1:8" x14ac:dyDescent="0.35">
      <c r="B31" t="s">
        <v>0</v>
      </c>
      <c r="C31" s="28">
        <f>J4</f>
        <v>6.4308933333333353</v>
      </c>
      <c r="D31">
        <f>COUNTA(A3:A7)-1</f>
        <v>4</v>
      </c>
      <c r="E31">
        <f t="shared" ref="E31:E32" si="2">C31/D31</f>
        <v>1.6077233333333338</v>
      </c>
      <c r="F31">
        <f>E31/$E$32</f>
        <v>8.4271798859059874</v>
      </c>
      <c r="G31" s="47">
        <f>_xlfn.F.DIST.RT(F31,D31,D32)</f>
        <v>5.7289843320950246E-3</v>
      </c>
    </row>
    <row r="32" spans="1:8" x14ac:dyDescent="0.35">
      <c r="B32" t="s">
        <v>16</v>
      </c>
      <c r="C32" s="35">
        <f>F25</f>
        <v>1.5262266666666662</v>
      </c>
      <c r="D32">
        <f>D30*D31</f>
        <v>8</v>
      </c>
      <c r="E32">
        <f t="shared" si="2"/>
        <v>0.19077833333333327</v>
      </c>
    </row>
    <row r="34" spans="2:6" x14ac:dyDescent="0.35">
      <c r="B34" s="23" t="s">
        <v>8</v>
      </c>
      <c r="C34" s="31">
        <f>SUM(C30:C32)</f>
        <v>17.936693333333324</v>
      </c>
      <c r="D34">
        <f>SUM(D30:D32)</f>
        <v>14</v>
      </c>
    </row>
    <row r="38" spans="2:6" ht="21" x14ac:dyDescent="0.5">
      <c r="B38" s="40" t="s">
        <v>17</v>
      </c>
      <c r="F38" s="8" t="s">
        <v>41</v>
      </c>
    </row>
    <row r="39" spans="2:6" ht="15" thickBot="1" x14ac:dyDescent="0.4"/>
    <row r="40" spans="2:6" x14ac:dyDescent="0.35">
      <c r="B40" s="5" t="s">
        <v>18</v>
      </c>
      <c r="C40" s="5" t="s">
        <v>19</v>
      </c>
      <c r="D40" s="5" t="s">
        <v>20</v>
      </c>
      <c r="E40" s="5" t="s">
        <v>21</v>
      </c>
      <c r="F40" s="5" t="s">
        <v>22</v>
      </c>
    </row>
    <row r="41" spans="2:6" x14ac:dyDescent="0.35">
      <c r="B41" s="3" t="s">
        <v>23</v>
      </c>
      <c r="C41" s="3">
        <v>3</v>
      </c>
      <c r="D41" s="6">
        <v>13.860000000000001</v>
      </c>
      <c r="E41" s="19">
        <v>4.62</v>
      </c>
      <c r="F41" s="6">
        <v>0.92889999999999873</v>
      </c>
    </row>
    <row r="42" spans="2:6" x14ac:dyDescent="0.35">
      <c r="B42" s="3" t="s">
        <v>24</v>
      </c>
      <c r="C42" s="3">
        <v>3</v>
      </c>
      <c r="D42" s="6">
        <v>18.36</v>
      </c>
      <c r="E42" s="19">
        <v>6.12</v>
      </c>
      <c r="F42" s="6">
        <v>1.7908000000000044</v>
      </c>
    </row>
    <row r="43" spans="2:6" x14ac:dyDescent="0.35">
      <c r="B43" s="3" t="s">
        <v>25</v>
      </c>
      <c r="C43" s="3">
        <v>3</v>
      </c>
      <c r="D43" s="6">
        <v>15.85</v>
      </c>
      <c r="E43" s="19">
        <v>5.2833333333333332</v>
      </c>
      <c r="F43" s="6">
        <v>0.56903333333334416</v>
      </c>
    </row>
    <row r="44" spans="2:6" x14ac:dyDescent="0.35">
      <c r="B44" s="3" t="s">
        <v>26</v>
      </c>
      <c r="C44" s="3">
        <v>3</v>
      </c>
      <c r="D44" s="6">
        <v>15.4</v>
      </c>
      <c r="E44" s="19">
        <v>5.1333333333333337</v>
      </c>
      <c r="F44" s="6">
        <v>0.40563333333332707</v>
      </c>
    </row>
    <row r="45" spans="2:6" x14ac:dyDescent="0.35">
      <c r="B45" s="3" t="s">
        <v>27</v>
      </c>
      <c r="C45" s="3">
        <v>3</v>
      </c>
      <c r="D45" s="6">
        <v>19.190000000000001</v>
      </c>
      <c r="E45" s="19">
        <v>6.3966666666666674</v>
      </c>
      <c r="F45" s="6">
        <v>2.0585333333333153</v>
      </c>
    </row>
    <row r="46" spans="2:6" x14ac:dyDescent="0.35">
      <c r="B46" s="3"/>
      <c r="C46" s="3"/>
      <c r="D46" s="3"/>
      <c r="E46" s="3"/>
      <c r="F46" s="3"/>
    </row>
    <row r="47" spans="2:6" x14ac:dyDescent="0.35">
      <c r="B47" s="3" t="s">
        <v>28</v>
      </c>
      <c r="C47" s="3">
        <v>5</v>
      </c>
      <c r="D47" s="6">
        <v>22.16</v>
      </c>
      <c r="E47" s="21">
        <v>4.4320000000000004</v>
      </c>
      <c r="F47" s="6">
        <v>0.16306999999999994</v>
      </c>
    </row>
    <row r="48" spans="2:6" x14ac:dyDescent="0.35">
      <c r="B48" s="3" t="s">
        <v>29</v>
      </c>
      <c r="C48" s="3">
        <v>5</v>
      </c>
      <c r="D48" s="6">
        <v>28.480000000000004</v>
      </c>
      <c r="E48" s="21">
        <v>5.6960000000000006</v>
      </c>
      <c r="F48" s="6">
        <v>1.1304799999999844</v>
      </c>
    </row>
    <row r="49" spans="2:10" ht="15" thickBot="1" x14ac:dyDescent="0.4">
      <c r="B49" s="4" t="s">
        <v>30</v>
      </c>
      <c r="C49" s="4">
        <v>5</v>
      </c>
      <c r="D49" s="7">
        <v>32.019999999999996</v>
      </c>
      <c r="E49" s="22">
        <v>6.403999999999999</v>
      </c>
      <c r="F49" s="7">
        <v>0.69573000000001883</v>
      </c>
    </row>
    <row r="52" spans="2:10" x14ac:dyDescent="0.35">
      <c r="B52" s="39" t="s">
        <v>31</v>
      </c>
    </row>
    <row r="53" spans="2:10" x14ac:dyDescent="0.35">
      <c r="B53" s="38" t="s">
        <v>32</v>
      </c>
      <c r="C53" s="38" t="s">
        <v>33</v>
      </c>
      <c r="D53" s="38" t="s">
        <v>34</v>
      </c>
      <c r="E53" s="38" t="s">
        <v>35</v>
      </c>
      <c r="F53" s="38" t="s">
        <v>13</v>
      </c>
      <c r="G53" s="38" t="s">
        <v>36</v>
      </c>
      <c r="H53" s="38" t="s">
        <v>37</v>
      </c>
    </row>
    <row r="54" spans="2:10" x14ac:dyDescent="0.35">
      <c r="B54" s="3" t="s">
        <v>38</v>
      </c>
      <c r="C54" s="29">
        <v>6.43089333333333</v>
      </c>
      <c r="D54" s="3">
        <v>4</v>
      </c>
      <c r="E54" s="3">
        <v>1.6077233333333325</v>
      </c>
      <c r="F54" s="3">
        <v>8.4271798859059803</v>
      </c>
      <c r="G54" s="46">
        <v>5.7289843320950384E-3</v>
      </c>
      <c r="H54" s="3">
        <v>3.8378533545558975</v>
      </c>
      <c r="I54" t="s">
        <v>49</v>
      </c>
      <c r="J54" t="s">
        <v>50</v>
      </c>
    </row>
    <row r="55" spans="2:10" x14ac:dyDescent="0.35">
      <c r="B55" s="3" t="s">
        <v>39</v>
      </c>
      <c r="C55" s="27">
        <v>9.9795733333333327</v>
      </c>
      <c r="D55" s="3">
        <v>2</v>
      </c>
      <c r="E55" s="3">
        <v>4.9897866666666664</v>
      </c>
      <c r="F55" s="3">
        <v>26.154891802877692</v>
      </c>
      <c r="G55" s="49">
        <v>3.0960564259578855E-4</v>
      </c>
      <c r="H55" s="3">
        <v>4.4589701075245118</v>
      </c>
      <c r="I55" t="s">
        <v>49</v>
      </c>
      <c r="J55" t="s">
        <v>50</v>
      </c>
    </row>
    <row r="56" spans="2:10" x14ac:dyDescent="0.35">
      <c r="B56" s="3" t="s">
        <v>40</v>
      </c>
      <c r="C56" s="36">
        <v>1.5262266666666662</v>
      </c>
      <c r="D56" s="3">
        <v>8</v>
      </c>
      <c r="E56" s="3">
        <v>0.19077833333333327</v>
      </c>
      <c r="F56" s="3"/>
      <c r="G56" s="3"/>
      <c r="H56" s="3"/>
    </row>
    <row r="57" spans="2:10" x14ac:dyDescent="0.35">
      <c r="B57" s="3"/>
      <c r="C57" s="3"/>
      <c r="D57" s="3"/>
      <c r="E57" s="3"/>
      <c r="F57" s="3"/>
      <c r="G57" s="3"/>
      <c r="H57" s="3"/>
    </row>
    <row r="58" spans="2:10" ht="15" thickBot="1" x14ac:dyDescent="0.4">
      <c r="B58" s="37" t="s">
        <v>8</v>
      </c>
      <c r="C58" s="32">
        <v>17.936693333333331</v>
      </c>
      <c r="D58" s="4">
        <v>14</v>
      </c>
      <c r="E58" s="4"/>
      <c r="F58" s="4"/>
      <c r="G58" s="4"/>
      <c r="H58" s="4"/>
    </row>
    <row r="62" spans="2:10" x14ac:dyDescent="0.35">
      <c r="B62" s="30" t="s">
        <v>48</v>
      </c>
      <c r="C62" s="45">
        <f>(C30+C31)/C34</f>
        <v>0.91491036623621447</v>
      </c>
    </row>
  </sheetData>
  <mergeCells count="5">
    <mergeCell ref="B1:D1"/>
    <mergeCell ref="B18:D18"/>
    <mergeCell ref="B9:D9"/>
    <mergeCell ref="F2:F7"/>
    <mergeCell ref="F18:H18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DC5C45-8C5A-45B3-B6B3-3463DA27B1F1}">
  <dimension ref="A1:K84"/>
  <sheetViews>
    <sheetView workbookViewId="0">
      <selection activeCell="M47" sqref="M47"/>
    </sheetView>
  </sheetViews>
  <sheetFormatPr defaultRowHeight="14.5" x14ac:dyDescent="0.35"/>
  <cols>
    <col min="1" max="1" width="8.1796875" bestFit="1" customWidth="1"/>
    <col min="2" max="2" width="11.81640625" bestFit="1" customWidth="1"/>
    <col min="3" max="3" width="11.54296875" bestFit="1" customWidth="1"/>
    <col min="4" max="4" width="10.81640625" bestFit="1" customWidth="1"/>
    <col min="5" max="5" width="15.36328125" bestFit="1" customWidth="1"/>
    <col min="6" max="6" width="12.453125" bestFit="1" customWidth="1"/>
    <col min="7" max="7" width="16" customWidth="1"/>
    <col min="8" max="8" width="13.6328125" bestFit="1" customWidth="1"/>
    <col min="9" max="9" width="18" customWidth="1"/>
    <col min="10" max="10" width="15.08984375" bestFit="1" customWidth="1"/>
    <col min="11" max="11" width="13.6328125" bestFit="1" customWidth="1"/>
  </cols>
  <sheetData>
    <row r="1" spans="1:11" ht="9" customHeight="1" x14ac:dyDescent="0.6">
      <c r="C1" s="51"/>
    </row>
    <row r="2" spans="1:11" x14ac:dyDescent="0.35">
      <c r="E2" s="151" t="s">
        <v>85</v>
      </c>
      <c r="F2" s="151"/>
    </row>
    <row r="3" spans="1:11" x14ac:dyDescent="0.35">
      <c r="E3" s="41" t="s">
        <v>64</v>
      </c>
      <c r="F3" s="42">
        <v>4.4320000000000004</v>
      </c>
    </row>
    <row r="4" spans="1:11" x14ac:dyDescent="0.35">
      <c r="E4" s="41" t="s">
        <v>65</v>
      </c>
      <c r="F4" s="42">
        <v>5.6960000000000006</v>
      </c>
    </row>
    <row r="5" spans="1:11" x14ac:dyDescent="0.35">
      <c r="A5" s="30" t="s">
        <v>51</v>
      </c>
      <c r="B5">
        <f>'Dos factores (Sin)'!E32</f>
        <v>0.19077833333333327</v>
      </c>
      <c r="E5" s="41" t="s">
        <v>66</v>
      </c>
      <c r="F5" s="42">
        <v>6.403999999999999</v>
      </c>
    </row>
    <row r="6" spans="1:11" x14ac:dyDescent="0.35">
      <c r="A6" s="30" t="s">
        <v>52</v>
      </c>
      <c r="B6" s="42">
        <v>3</v>
      </c>
      <c r="C6" t="s">
        <v>53</v>
      </c>
    </row>
    <row r="7" spans="1:11" x14ac:dyDescent="0.35">
      <c r="A7" s="30" t="s">
        <v>54</v>
      </c>
      <c r="B7" s="42">
        <v>5</v>
      </c>
      <c r="C7" t="s">
        <v>55</v>
      </c>
    </row>
    <row r="8" spans="1:11" x14ac:dyDescent="0.35">
      <c r="I8" s="30" t="s">
        <v>71</v>
      </c>
      <c r="J8" s="42">
        <v>0.05</v>
      </c>
    </row>
    <row r="9" spans="1:11" x14ac:dyDescent="0.35">
      <c r="F9" s="149" t="s">
        <v>68</v>
      </c>
      <c r="G9" s="149"/>
    </row>
    <row r="10" spans="1:11" x14ac:dyDescent="0.35">
      <c r="A10" s="10" t="s">
        <v>56</v>
      </c>
      <c r="B10" s="10" t="s">
        <v>57</v>
      </c>
      <c r="C10" s="10" t="s">
        <v>58</v>
      </c>
      <c r="D10" s="10" t="s">
        <v>59</v>
      </c>
      <c r="E10" s="10" t="s">
        <v>60</v>
      </c>
      <c r="F10" s="10" t="s">
        <v>61</v>
      </c>
      <c r="G10" s="10" t="s">
        <v>62</v>
      </c>
      <c r="H10" s="10" t="s">
        <v>63</v>
      </c>
      <c r="I10" s="10" t="s">
        <v>67</v>
      </c>
      <c r="J10" s="10" t="s">
        <v>69</v>
      </c>
      <c r="K10" s="10" t="s">
        <v>70</v>
      </c>
    </row>
    <row r="11" spans="1:11" x14ac:dyDescent="0.35">
      <c r="A11" s="43" t="s">
        <v>64</v>
      </c>
      <c r="B11" s="43" t="s">
        <v>65</v>
      </c>
      <c r="C11" s="9">
        <f>F3</f>
        <v>4.4320000000000004</v>
      </c>
      <c r="D11" s="9">
        <f>F4</f>
        <v>5.6960000000000006</v>
      </c>
      <c r="E11" s="9">
        <f>C11-D11</f>
        <v>-1.2640000000000002</v>
      </c>
      <c r="F11" s="9">
        <v>5</v>
      </c>
      <c r="G11" s="9">
        <v>5</v>
      </c>
      <c r="H11" s="9">
        <f>SQRT($B$5*(1/$F$11+1/$G$11))</f>
        <v>0.27624506028766072</v>
      </c>
      <c r="I11" s="9">
        <f>E11/H11</f>
        <v>-4.5756474294373488</v>
      </c>
      <c r="J11" s="9">
        <f>SQRT(($B$6-1)*_xlfn.F.INV.RT($J$8,($B$6-1),($B$6-1)*(($B$7-1))))</f>
        <v>2.9862920511981113</v>
      </c>
      <c r="K11" s="9" t="str">
        <f>IF(ABS(I11)&gt;J11,"Rechazar H0","No rechazar H0")</f>
        <v>Rechazar H0</v>
      </c>
    </row>
    <row r="12" spans="1:11" x14ac:dyDescent="0.35">
      <c r="A12" s="42" t="s">
        <v>64</v>
      </c>
      <c r="B12" s="42" t="s">
        <v>66</v>
      </c>
      <c r="C12" s="9">
        <f t="shared" ref="C12:D16" si="0">VLOOKUP(A12,$E$3:$F$5,2,)</f>
        <v>4.4320000000000004</v>
      </c>
      <c r="D12" s="9">
        <f t="shared" si="0"/>
        <v>6.403999999999999</v>
      </c>
      <c r="E12" s="9">
        <f t="shared" ref="E12:E16" si="1">C12-D12</f>
        <v>-1.9719999999999986</v>
      </c>
      <c r="F12" s="9">
        <v>5</v>
      </c>
      <c r="G12" s="9">
        <v>5</v>
      </c>
      <c r="H12" s="9">
        <f t="shared" ref="H12:H16" si="2">SQRT($B$5*(1/$F$11+1/$G$11))</f>
        <v>0.27624506028766072</v>
      </c>
      <c r="I12" s="9">
        <f t="shared" ref="I12:I16" si="3">E12/H12</f>
        <v>-7.1385891857994022</v>
      </c>
      <c r="J12" s="9">
        <f t="shared" ref="J12:J16" si="4">SQRT(($B$6-1)*_xlfn.F.INV.RT($J$8,($B$6-1),($B$6-1)*(($B$7-1))))</f>
        <v>2.9862920511981113</v>
      </c>
      <c r="K12" s="9" t="str">
        <f t="shared" ref="K12:K16" si="5">IF(ABS(I12)&gt;J12,"Rechazar H0","No rechazar H0")</f>
        <v>Rechazar H0</v>
      </c>
    </row>
    <row r="13" spans="1:11" x14ac:dyDescent="0.35">
      <c r="A13" s="42" t="s">
        <v>65</v>
      </c>
      <c r="B13" s="42" t="s">
        <v>64</v>
      </c>
      <c r="C13" s="9">
        <f t="shared" si="0"/>
        <v>5.6960000000000006</v>
      </c>
      <c r="D13" s="9">
        <f t="shared" si="0"/>
        <v>4.4320000000000004</v>
      </c>
      <c r="E13" s="9">
        <f t="shared" si="1"/>
        <v>1.2640000000000002</v>
      </c>
      <c r="F13" s="9">
        <v>5</v>
      </c>
      <c r="G13" s="9">
        <v>5</v>
      </c>
      <c r="H13" s="9">
        <f t="shared" si="2"/>
        <v>0.27624506028766072</v>
      </c>
      <c r="I13" s="9">
        <f t="shared" si="3"/>
        <v>4.5756474294373488</v>
      </c>
      <c r="J13" s="9">
        <f t="shared" si="4"/>
        <v>2.9862920511981113</v>
      </c>
      <c r="K13" s="9" t="str">
        <f t="shared" si="5"/>
        <v>Rechazar H0</v>
      </c>
    </row>
    <row r="14" spans="1:11" x14ac:dyDescent="0.35">
      <c r="A14" s="42" t="s">
        <v>65</v>
      </c>
      <c r="B14" s="42" t="s">
        <v>66</v>
      </c>
      <c r="C14" s="9">
        <f t="shared" si="0"/>
        <v>5.6960000000000006</v>
      </c>
      <c r="D14" s="9">
        <f t="shared" si="0"/>
        <v>6.403999999999999</v>
      </c>
      <c r="E14" s="9">
        <f t="shared" si="1"/>
        <v>-0.70799999999999841</v>
      </c>
      <c r="F14" s="9">
        <v>5</v>
      </c>
      <c r="G14" s="9">
        <v>5</v>
      </c>
      <c r="H14" s="9">
        <f t="shared" si="2"/>
        <v>0.27624506028766072</v>
      </c>
      <c r="I14" s="9">
        <f t="shared" si="3"/>
        <v>-2.5629417563620533</v>
      </c>
      <c r="J14" s="9">
        <f t="shared" si="4"/>
        <v>2.9862920511981113</v>
      </c>
      <c r="K14" s="9" t="str">
        <f t="shared" si="5"/>
        <v>No rechazar H0</v>
      </c>
    </row>
    <row r="15" spans="1:11" x14ac:dyDescent="0.35">
      <c r="A15" s="42" t="s">
        <v>66</v>
      </c>
      <c r="B15" s="42" t="s">
        <v>64</v>
      </c>
      <c r="C15" s="9">
        <f t="shared" si="0"/>
        <v>6.403999999999999</v>
      </c>
      <c r="D15" s="9">
        <f t="shared" si="0"/>
        <v>4.4320000000000004</v>
      </c>
      <c r="E15" s="9">
        <f t="shared" si="1"/>
        <v>1.9719999999999986</v>
      </c>
      <c r="F15" s="9">
        <v>5</v>
      </c>
      <c r="G15" s="9">
        <v>5</v>
      </c>
      <c r="H15" s="9">
        <f t="shared" si="2"/>
        <v>0.27624506028766072</v>
      </c>
      <c r="I15" s="9">
        <f t="shared" si="3"/>
        <v>7.1385891857994022</v>
      </c>
      <c r="J15" s="9">
        <f t="shared" si="4"/>
        <v>2.9862920511981113</v>
      </c>
      <c r="K15" s="9" t="str">
        <f t="shared" si="5"/>
        <v>Rechazar H0</v>
      </c>
    </row>
    <row r="16" spans="1:11" x14ac:dyDescent="0.35">
      <c r="A16" s="42" t="s">
        <v>66</v>
      </c>
      <c r="B16" s="42" t="s">
        <v>65</v>
      </c>
      <c r="C16" s="9">
        <f t="shared" si="0"/>
        <v>6.403999999999999</v>
      </c>
      <c r="D16" s="9">
        <f t="shared" si="0"/>
        <v>5.6960000000000006</v>
      </c>
      <c r="E16" s="9">
        <f t="shared" si="1"/>
        <v>0.70799999999999841</v>
      </c>
      <c r="F16" s="9">
        <v>5</v>
      </c>
      <c r="G16" s="9">
        <v>5</v>
      </c>
      <c r="H16" s="9">
        <f t="shared" si="2"/>
        <v>0.27624506028766072</v>
      </c>
      <c r="I16" s="9">
        <f t="shared" si="3"/>
        <v>2.5629417563620533</v>
      </c>
      <c r="J16" s="9">
        <f t="shared" si="4"/>
        <v>2.9862920511981113</v>
      </c>
      <c r="K16" s="9" t="str">
        <f t="shared" si="5"/>
        <v>No rechazar H0</v>
      </c>
    </row>
    <row r="19" spans="1:9" x14ac:dyDescent="0.35">
      <c r="A19" s="10" t="s">
        <v>56</v>
      </c>
      <c r="B19" s="10" t="s">
        <v>57</v>
      </c>
      <c r="C19" s="10" t="s">
        <v>60</v>
      </c>
      <c r="D19" s="10" t="s">
        <v>72</v>
      </c>
      <c r="E19" s="10" t="s">
        <v>73</v>
      </c>
      <c r="F19" s="10" t="s">
        <v>74</v>
      </c>
      <c r="G19" s="10" t="s">
        <v>75</v>
      </c>
    </row>
    <row r="20" spans="1:9" x14ac:dyDescent="0.35">
      <c r="A20" s="43" t="s">
        <v>64</v>
      </c>
      <c r="B20" s="43" t="s">
        <v>65</v>
      </c>
      <c r="C20" s="9">
        <v>-1.2640000000000002</v>
      </c>
      <c r="D20" s="9">
        <v>0.27624506028766072</v>
      </c>
      <c r="E20" s="9">
        <v>2.9862920511981113</v>
      </c>
      <c r="F20" s="9">
        <f>C20-D20*E20</f>
        <v>-2.0889484277197843</v>
      </c>
      <c r="G20" s="9">
        <f>C20+D20*E20</f>
        <v>-0.43905157228021596</v>
      </c>
    </row>
    <row r="21" spans="1:9" x14ac:dyDescent="0.35">
      <c r="A21" s="42" t="s">
        <v>64</v>
      </c>
      <c r="B21" s="42" t="s">
        <v>66</v>
      </c>
      <c r="C21" s="9">
        <v>-1.9719999999999986</v>
      </c>
      <c r="D21" s="9">
        <v>0.27624506028766072</v>
      </c>
      <c r="E21" s="9">
        <v>2.9862920511981113</v>
      </c>
      <c r="F21" s="9">
        <f t="shared" ref="F21:F25" si="6">C21-D21*E21</f>
        <v>-2.7969484277197827</v>
      </c>
      <c r="G21" s="9">
        <f t="shared" ref="G21:G25" si="7">C21+D21*E21</f>
        <v>-1.1470515722802144</v>
      </c>
    </row>
    <row r="22" spans="1:9" x14ac:dyDescent="0.35">
      <c r="A22" s="42" t="s">
        <v>65</v>
      </c>
      <c r="B22" s="42" t="s">
        <v>64</v>
      </c>
      <c r="C22" s="9">
        <v>1.2640000000000002</v>
      </c>
      <c r="D22" s="9">
        <v>0.27624506028766072</v>
      </c>
      <c r="E22" s="9">
        <v>2.9862920511981113</v>
      </c>
      <c r="F22" s="9">
        <f t="shared" si="6"/>
        <v>0.43905157228021596</v>
      </c>
      <c r="G22" s="9">
        <f t="shared" si="7"/>
        <v>2.0889484277197843</v>
      </c>
    </row>
    <row r="23" spans="1:9" ht="29.5" customHeight="1" x14ac:dyDescent="0.35">
      <c r="A23" s="42" t="s">
        <v>65</v>
      </c>
      <c r="B23" s="42" t="s">
        <v>66</v>
      </c>
      <c r="C23" s="9">
        <v>-0.70799999999999841</v>
      </c>
      <c r="D23" s="9">
        <v>0.27624506028766072</v>
      </c>
      <c r="E23" s="9">
        <v>2.9862920511981113</v>
      </c>
      <c r="F23" s="9">
        <f t="shared" si="6"/>
        <v>-1.5329484277197827</v>
      </c>
      <c r="G23" s="9">
        <f t="shared" si="7"/>
        <v>0.11694842771978586</v>
      </c>
      <c r="I23" s="61" t="s">
        <v>92</v>
      </c>
    </row>
    <row r="24" spans="1:9" x14ac:dyDescent="0.35">
      <c r="A24" s="42" t="s">
        <v>66</v>
      </c>
      <c r="B24" s="42" t="s">
        <v>64</v>
      </c>
      <c r="C24" s="9">
        <v>1.9719999999999986</v>
      </c>
      <c r="D24" s="9">
        <v>0.27624506028766072</v>
      </c>
      <c r="E24" s="9">
        <v>2.9862920511981113</v>
      </c>
      <c r="F24" s="9">
        <f t="shared" si="6"/>
        <v>1.1470515722802144</v>
      </c>
      <c r="G24" s="9">
        <f t="shared" si="7"/>
        <v>2.7969484277197827</v>
      </c>
    </row>
    <row r="25" spans="1:9" x14ac:dyDescent="0.35">
      <c r="A25" s="42" t="s">
        <v>66</v>
      </c>
      <c r="B25" s="42" t="s">
        <v>65</v>
      </c>
      <c r="C25" s="9">
        <v>0.70799999999999841</v>
      </c>
      <c r="D25" s="9">
        <v>0.27624506028766072</v>
      </c>
      <c r="E25" s="9">
        <v>2.9862920511981113</v>
      </c>
      <c r="F25" s="9">
        <f t="shared" si="6"/>
        <v>-0.11694842771978586</v>
      </c>
      <c r="G25" s="9">
        <f t="shared" si="7"/>
        <v>1.5329484277197827</v>
      </c>
    </row>
    <row r="28" spans="1:9" x14ac:dyDescent="0.35">
      <c r="B28" s="8"/>
      <c r="I28" t="s">
        <v>63</v>
      </c>
    </row>
    <row r="29" spans="1:9" x14ac:dyDescent="0.35">
      <c r="B29" s="151" t="s">
        <v>77</v>
      </c>
      <c r="C29" s="151"/>
    </row>
    <row r="30" spans="1:9" x14ac:dyDescent="0.35">
      <c r="B30" s="41" t="s">
        <v>80</v>
      </c>
      <c r="C30" s="50">
        <v>4.62</v>
      </c>
    </row>
    <row r="31" spans="1:9" x14ac:dyDescent="0.35">
      <c r="B31" s="41" t="s">
        <v>81</v>
      </c>
      <c r="C31" s="50">
        <v>6.12</v>
      </c>
      <c r="I31" t="s">
        <v>86</v>
      </c>
    </row>
    <row r="32" spans="1:9" x14ac:dyDescent="0.35">
      <c r="B32" s="41" t="s">
        <v>82</v>
      </c>
      <c r="C32" s="50">
        <v>5.2833333333333332</v>
      </c>
    </row>
    <row r="33" spans="1:11" x14ac:dyDescent="0.35">
      <c r="B33" s="41" t="s">
        <v>83</v>
      </c>
      <c r="C33" s="50">
        <v>5.1333333333333337</v>
      </c>
    </row>
    <row r="34" spans="1:11" x14ac:dyDescent="0.35">
      <c r="B34" s="41" t="s">
        <v>84</v>
      </c>
      <c r="C34" s="50">
        <v>6.3966666666666674</v>
      </c>
      <c r="I34" t="s">
        <v>93</v>
      </c>
    </row>
    <row r="39" spans="1:11" x14ac:dyDescent="0.35">
      <c r="F39" s="149" t="s">
        <v>68</v>
      </c>
      <c r="G39" s="149"/>
    </row>
    <row r="40" spans="1:11" x14ac:dyDescent="0.35">
      <c r="A40" s="10" t="s">
        <v>78</v>
      </c>
      <c r="B40" s="10" t="s">
        <v>79</v>
      </c>
      <c r="C40" s="10" t="s">
        <v>58</v>
      </c>
      <c r="D40" s="10" t="s">
        <v>59</v>
      </c>
      <c r="E40" s="10" t="s">
        <v>60</v>
      </c>
      <c r="F40" s="10" t="s">
        <v>61</v>
      </c>
      <c r="G40" s="10" t="s">
        <v>62</v>
      </c>
      <c r="H40" s="10" t="s">
        <v>63</v>
      </c>
      <c r="I40" s="10" t="s">
        <v>67</v>
      </c>
      <c r="J40" s="10" t="s">
        <v>69</v>
      </c>
      <c r="K40" s="10" t="s">
        <v>70</v>
      </c>
    </row>
    <row r="41" spans="1:11" x14ac:dyDescent="0.35">
      <c r="A41" s="42" t="s">
        <v>80</v>
      </c>
      <c r="B41" s="42" t="s">
        <v>81</v>
      </c>
      <c r="C41" s="9">
        <f>C30</f>
        <v>4.62</v>
      </c>
      <c r="D41" s="9">
        <f>C31</f>
        <v>6.12</v>
      </c>
      <c r="E41" s="9">
        <f>C41-D41</f>
        <v>-1.5</v>
      </c>
      <c r="F41" s="42">
        <v>3</v>
      </c>
      <c r="G41" s="42">
        <v>3</v>
      </c>
      <c r="H41" s="9">
        <f t="shared" ref="H41:H60" si="8">SQRT($B$5*(1/$F$41+1/$G$41))</f>
        <v>0.35663083932205791</v>
      </c>
      <c r="I41" s="9">
        <f>E41/H41</f>
        <v>-4.2060299744448484</v>
      </c>
      <c r="J41" s="9">
        <f>SQRT(($B$6-1)*_xlfn.F.INV.RT($J$8,($B$6-1),($B$6-1)*(($B$7-1))))</f>
        <v>2.9862920511981113</v>
      </c>
      <c r="K41" s="42" t="str">
        <f>IF(ABS(I41)&gt;J41,"Rechazar H0","No rechazar H0")</f>
        <v>Rechazar H0</v>
      </c>
    </row>
    <row r="42" spans="1:11" x14ac:dyDescent="0.35">
      <c r="A42" s="42" t="s">
        <v>80</v>
      </c>
      <c r="B42" s="42" t="s">
        <v>82</v>
      </c>
      <c r="C42" s="9">
        <f>VLOOKUP(A42,$B$30:$C$34,2,0)</f>
        <v>4.62</v>
      </c>
      <c r="D42" s="9">
        <f>VLOOKUP(B42,$B$30:$C$34,2,0)</f>
        <v>5.2833333333333332</v>
      </c>
      <c r="E42" s="9">
        <f>C42-D42</f>
        <v>-0.66333333333333311</v>
      </c>
      <c r="F42" s="42">
        <v>3</v>
      </c>
      <c r="G42" s="42">
        <v>3</v>
      </c>
      <c r="H42" s="9">
        <f t="shared" si="8"/>
        <v>0.35663083932205791</v>
      </c>
      <c r="I42" s="9">
        <f>E42/H42</f>
        <v>-1.8599999220322767</v>
      </c>
      <c r="J42" s="9">
        <f>SQRT(($B$6-1)*_xlfn.F.INV.RT($J$8,($B$6-1),($B$6-1)*(($B$7-1))))</f>
        <v>2.9862920511981113</v>
      </c>
      <c r="K42" s="42" t="str">
        <f>IF(ABS(I42)&gt;J42,"Rechazar H0","No rechazar H0")</f>
        <v>No rechazar H0</v>
      </c>
    </row>
    <row r="43" spans="1:11" x14ac:dyDescent="0.35">
      <c r="A43" s="42" t="s">
        <v>80</v>
      </c>
      <c r="B43" s="42" t="s">
        <v>83</v>
      </c>
      <c r="C43" s="9">
        <f t="shared" ref="C43:C60" si="9">VLOOKUP(A43,$B$30:$C$34,2,0)</f>
        <v>4.62</v>
      </c>
      <c r="D43" s="9">
        <f t="shared" ref="D43:D60" si="10">VLOOKUP(B43,$B$30:$C$34,2,0)</f>
        <v>5.1333333333333337</v>
      </c>
      <c r="E43" s="9">
        <f t="shared" ref="E43:E60" si="11">C43-D43</f>
        <v>-0.51333333333333364</v>
      </c>
      <c r="F43" s="42">
        <v>3</v>
      </c>
      <c r="G43" s="42">
        <v>3</v>
      </c>
      <c r="H43" s="9">
        <f t="shared" si="8"/>
        <v>0.35663083932205791</v>
      </c>
      <c r="I43" s="9">
        <f t="shared" ref="I43:I60" si="12">E43/H43</f>
        <v>-1.4393969245877933</v>
      </c>
      <c r="J43" s="9">
        <f t="shared" ref="J43:J60" si="13">SQRT(($B$6-1)*_xlfn.F.INV.RT($J$8,($B$6-1),($B$6-1)*(($B$7-1))))</f>
        <v>2.9862920511981113</v>
      </c>
      <c r="K43" s="42" t="str">
        <f t="shared" ref="K43:K60" si="14">IF(ABS(I43)&gt;J43,"Rechazar H0","No rechazar H0")</f>
        <v>No rechazar H0</v>
      </c>
    </row>
    <row r="44" spans="1:11" x14ac:dyDescent="0.35">
      <c r="A44" s="42" t="s">
        <v>80</v>
      </c>
      <c r="B44" s="42" t="s">
        <v>84</v>
      </c>
      <c r="C44" s="9">
        <f t="shared" si="9"/>
        <v>4.62</v>
      </c>
      <c r="D44" s="9">
        <f t="shared" si="10"/>
        <v>6.3966666666666674</v>
      </c>
      <c r="E44" s="9">
        <f t="shared" si="11"/>
        <v>-1.7766666666666673</v>
      </c>
      <c r="F44" s="42">
        <v>3</v>
      </c>
      <c r="G44" s="42">
        <v>3</v>
      </c>
      <c r="H44" s="9">
        <f t="shared" si="8"/>
        <v>0.35663083932205791</v>
      </c>
      <c r="I44" s="9">
        <f t="shared" si="12"/>
        <v>-4.9818088363980104</v>
      </c>
      <c r="J44" s="9">
        <f t="shared" si="13"/>
        <v>2.9862920511981113</v>
      </c>
      <c r="K44" s="42" t="str">
        <f t="shared" si="14"/>
        <v>Rechazar H0</v>
      </c>
    </row>
    <row r="45" spans="1:11" x14ac:dyDescent="0.35">
      <c r="A45" s="42" t="s">
        <v>81</v>
      </c>
      <c r="B45" s="42" t="s">
        <v>80</v>
      </c>
      <c r="C45" s="9">
        <f t="shared" si="9"/>
        <v>6.12</v>
      </c>
      <c r="D45" s="9">
        <f t="shared" si="10"/>
        <v>4.62</v>
      </c>
      <c r="E45" s="9">
        <f t="shared" si="11"/>
        <v>1.5</v>
      </c>
      <c r="F45" s="42">
        <v>3</v>
      </c>
      <c r="G45" s="42">
        <v>3</v>
      </c>
      <c r="H45" s="9">
        <f t="shared" si="8"/>
        <v>0.35663083932205791</v>
      </c>
      <c r="I45" s="9">
        <f t="shared" si="12"/>
        <v>4.2060299744448484</v>
      </c>
      <c r="J45" s="9">
        <f t="shared" si="13"/>
        <v>2.9862920511981113</v>
      </c>
      <c r="K45" s="42" t="str">
        <f t="shared" si="14"/>
        <v>Rechazar H0</v>
      </c>
    </row>
    <row r="46" spans="1:11" x14ac:dyDescent="0.35">
      <c r="A46" s="42" t="s">
        <v>81</v>
      </c>
      <c r="B46" s="42" t="s">
        <v>82</v>
      </c>
      <c r="C46" s="9">
        <f t="shared" si="9"/>
        <v>6.12</v>
      </c>
      <c r="D46" s="9">
        <f t="shared" si="10"/>
        <v>5.2833333333333332</v>
      </c>
      <c r="E46" s="9">
        <f t="shared" si="11"/>
        <v>0.83666666666666689</v>
      </c>
      <c r="F46" s="42">
        <v>3</v>
      </c>
      <c r="G46" s="42">
        <v>3</v>
      </c>
      <c r="H46" s="9">
        <f t="shared" si="8"/>
        <v>0.35663083932205791</v>
      </c>
      <c r="I46" s="9">
        <f t="shared" si="12"/>
        <v>2.3460300524125715</v>
      </c>
      <c r="J46" s="9">
        <f t="shared" si="13"/>
        <v>2.9862920511981113</v>
      </c>
      <c r="K46" s="42" t="str">
        <f t="shared" si="14"/>
        <v>No rechazar H0</v>
      </c>
    </row>
    <row r="47" spans="1:11" x14ac:dyDescent="0.35">
      <c r="A47" s="42" t="s">
        <v>81</v>
      </c>
      <c r="B47" s="42" t="s">
        <v>83</v>
      </c>
      <c r="C47" s="9">
        <f t="shared" si="9"/>
        <v>6.12</v>
      </c>
      <c r="D47" s="9">
        <f t="shared" si="10"/>
        <v>5.1333333333333337</v>
      </c>
      <c r="E47" s="9">
        <f t="shared" si="11"/>
        <v>0.98666666666666636</v>
      </c>
      <c r="F47" s="42">
        <v>3</v>
      </c>
      <c r="G47" s="42">
        <v>3</v>
      </c>
      <c r="H47" s="9">
        <f t="shared" si="8"/>
        <v>0.35663083932205791</v>
      </c>
      <c r="I47" s="9">
        <f t="shared" si="12"/>
        <v>2.7666330498570546</v>
      </c>
      <c r="J47" s="9">
        <f t="shared" si="13"/>
        <v>2.9862920511981113</v>
      </c>
      <c r="K47" s="42" t="str">
        <f t="shared" si="14"/>
        <v>No rechazar H0</v>
      </c>
    </row>
    <row r="48" spans="1:11" x14ac:dyDescent="0.35">
      <c r="A48" s="42" t="s">
        <v>81</v>
      </c>
      <c r="B48" s="42" t="s">
        <v>84</v>
      </c>
      <c r="C48" s="9">
        <f t="shared" si="9"/>
        <v>6.12</v>
      </c>
      <c r="D48" s="9">
        <f t="shared" si="10"/>
        <v>6.3966666666666674</v>
      </c>
      <c r="E48" s="9">
        <f t="shared" si="11"/>
        <v>-0.27666666666666728</v>
      </c>
      <c r="F48" s="42">
        <v>3</v>
      </c>
      <c r="G48" s="42">
        <v>3</v>
      </c>
      <c r="H48" s="9">
        <f t="shared" si="8"/>
        <v>0.35663083932205791</v>
      </c>
      <c r="I48" s="9">
        <f t="shared" si="12"/>
        <v>-0.77577886195316259</v>
      </c>
      <c r="J48" s="9">
        <f t="shared" si="13"/>
        <v>2.9862920511981113</v>
      </c>
      <c r="K48" s="42" t="str">
        <f t="shared" si="14"/>
        <v>No rechazar H0</v>
      </c>
    </row>
    <row r="49" spans="1:11" x14ac:dyDescent="0.35">
      <c r="A49" s="42" t="s">
        <v>82</v>
      </c>
      <c r="B49" s="42" t="s">
        <v>80</v>
      </c>
      <c r="C49" s="9">
        <f t="shared" si="9"/>
        <v>5.2833333333333332</v>
      </c>
      <c r="D49" s="9">
        <f t="shared" si="10"/>
        <v>4.62</v>
      </c>
      <c r="E49" s="9">
        <f t="shared" si="11"/>
        <v>0.66333333333333311</v>
      </c>
      <c r="F49" s="42">
        <v>3</v>
      </c>
      <c r="G49" s="42">
        <v>3</v>
      </c>
      <c r="H49" s="9">
        <f t="shared" si="8"/>
        <v>0.35663083932205791</v>
      </c>
      <c r="I49" s="9">
        <f t="shared" si="12"/>
        <v>1.8599999220322767</v>
      </c>
      <c r="J49" s="9">
        <f t="shared" si="13"/>
        <v>2.9862920511981113</v>
      </c>
      <c r="K49" s="42" t="str">
        <f t="shared" si="14"/>
        <v>No rechazar H0</v>
      </c>
    </row>
    <row r="50" spans="1:11" x14ac:dyDescent="0.35">
      <c r="A50" s="42" t="s">
        <v>82</v>
      </c>
      <c r="B50" s="42" t="s">
        <v>81</v>
      </c>
      <c r="C50" s="9">
        <f t="shared" si="9"/>
        <v>5.2833333333333332</v>
      </c>
      <c r="D50" s="9">
        <f t="shared" si="10"/>
        <v>6.12</v>
      </c>
      <c r="E50" s="9">
        <f t="shared" si="11"/>
        <v>-0.83666666666666689</v>
      </c>
      <c r="F50" s="42">
        <v>3</v>
      </c>
      <c r="G50" s="42">
        <v>3</v>
      </c>
      <c r="H50" s="9">
        <f t="shared" si="8"/>
        <v>0.35663083932205791</v>
      </c>
      <c r="I50" s="9">
        <f t="shared" si="12"/>
        <v>-2.3460300524125715</v>
      </c>
      <c r="J50" s="9">
        <f t="shared" si="13"/>
        <v>2.9862920511981113</v>
      </c>
      <c r="K50" s="42" t="str">
        <f t="shared" si="14"/>
        <v>No rechazar H0</v>
      </c>
    </row>
    <row r="51" spans="1:11" x14ac:dyDescent="0.35">
      <c r="A51" s="42" t="s">
        <v>82</v>
      </c>
      <c r="B51" s="42" t="s">
        <v>83</v>
      </c>
      <c r="C51" s="9">
        <f t="shared" si="9"/>
        <v>5.2833333333333332</v>
      </c>
      <c r="D51" s="9">
        <f t="shared" si="10"/>
        <v>5.1333333333333337</v>
      </c>
      <c r="E51" s="9">
        <f t="shared" si="11"/>
        <v>0.14999999999999947</v>
      </c>
      <c r="F51" s="42">
        <v>3</v>
      </c>
      <c r="G51" s="42">
        <v>3</v>
      </c>
      <c r="H51" s="9">
        <f t="shared" si="8"/>
        <v>0.35663083932205791</v>
      </c>
      <c r="I51" s="9">
        <f t="shared" si="12"/>
        <v>0.42060299744448332</v>
      </c>
      <c r="J51" s="9">
        <f t="shared" si="13"/>
        <v>2.9862920511981113</v>
      </c>
      <c r="K51" s="42" t="str">
        <f t="shared" si="14"/>
        <v>No rechazar H0</v>
      </c>
    </row>
    <row r="52" spans="1:11" x14ac:dyDescent="0.35">
      <c r="A52" s="42" t="s">
        <v>82</v>
      </c>
      <c r="B52" s="42" t="s">
        <v>84</v>
      </c>
      <c r="C52" s="9">
        <f t="shared" si="9"/>
        <v>5.2833333333333332</v>
      </c>
      <c r="D52" s="9">
        <f t="shared" si="10"/>
        <v>6.3966666666666674</v>
      </c>
      <c r="E52" s="9">
        <f t="shared" si="11"/>
        <v>-1.1133333333333342</v>
      </c>
      <c r="F52" s="42">
        <v>3</v>
      </c>
      <c r="G52" s="42">
        <v>3</v>
      </c>
      <c r="H52" s="9">
        <f t="shared" si="8"/>
        <v>0.35663083932205791</v>
      </c>
      <c r="I52" s="9">
        <f t="shared" si="12"/>
        <v>-3.1218089143657339</v>
      </c>
      <c r="J52" s="9">
        <f t="shared" si="13"/>
        <v>2.9862920511981113</v>
      </c>
      <c r="K52" s="42" t="str">
        <f t="shared" si="14"/>
        <v>Rechazar H0</v>
      </c>
    </row>
    <row r="53" spans="1:11" x14ac:dyDescent="0.35">
      <c r="A53" s="42" t="s">
        <v>83</v>
      </c>
      <c r="B53" s="42" t="s">
        <v>80</v>
      </c>
      <c r="C53" s="9">
        <f t="shared" si="9"/>
        <v>5.1333333333333337</v>
      </c>
      <c r="D53" s="9">
        <f t="shared" si="10"/>
        <v>4.62</v>
      </c>
      <c r="E53" s="9">
        <f t="shared" si="11"/>
        <v>0.51333333333333364</v>
      </c>
      <c r="F53" s="42">
        <v>3</v>
      </c>
      <c r="G53" s="42">
        <v>3</v>
      </c>
      <c r="H53" s="9">
        <f t="shared" si="8"/>
        <v>0.35663083932205791</v>
      </c>
      <c r="I53" s="9">
        <f t="shared" si="12"/>
        <v>1.4393969245877933</v>
      </c>
      <c r="J53" s="9">
        <f t="shared" si="13"/>
        <v>2.9862920511981113</v>
      </c>
      <c r="K53" s="42" t="str">
        <f t="shared" si="14"/>
        <v>No rechazar H0</v>
      </c>
    </row>
    <row r="54" spans="1:11" x14ac:dyDescent="0.35">
      <c r="A54" s="42" t="s">
        <v>83</v>
      </c>
      <c r="B54" s="42" t="s">
        <v>81</v>
      </c>
      <c r="C54" s="9">
        <f t="shared" si="9"/>
        <v>5.1333333333333337</v>
      </c>
      <c r="D54" s="9">
        <f t="shared" si="10"/>
        <v>6.12</v>
      </c>
      <c r="E54" s="9">
        <f t="shared" si="11"/>
        <v>-0.98666666666666636</v>
      </c>
      <c r="F54" s="42">
        <v>3</v>
      </c>
      <c r="G54" s="42">
        <v>3</v>
      </c>
      <c r="H54" s="9">
        <f t="shared" si="8"/>
        <v>0.35663083932205791</v>
      </c>
      <c r="I54" s="9">
        <f t="shared" si="12"/>
        <v>-2.7666330498570546</v>
      </c>
      <c r="J54" s="9">
        <f t="shared" si="13"/>
        <v>2.9862920511981113</v>
      </c>
      <c r="K54" s="42" t="str">
        <f t="shared" si="14"/>
        <v>No rechazar H0</v>
      </c>
    </row>
    <row r="55" spans="1:11" x14ac:dyDescent="0.35">
      <c r="A55" s="42" t="s">
        <v>83</v>
      </c>
      <c r="B55" s="42" t="s">
        <v>82</v>
      </c>
      <c r="C55" s="9">
        <f t="shared" si="9"/>
        <v>5.1333333333333337</v>
      </c>
      <c r="D55" s="9">
        <f t="shared" si="10"/>
        <v>5.2833333333333332</v>
      </c>
      <c r="E55" s="9">
        <f t="shared" si="11"/>
        <v>-0.14999999999999947</v>
      </c>
      <c r="F55" s="42">
        <v>3</v>
      </c>
      <c r="G55" s="42">
        <v>3</v>
      </c>
      <c r="H55" s="9">
        <f t="shared" si="8"/>
        <v>0.35663083932205791</v>
      </c>
      <c r="I55" s="9">
        <f t="shared" si="12"/>
        <v>-0.42060299744448332</v>
      </c>
      <c r="J55" s="9">
        <f t="shared" si="13"/>
        <v>2.9862920511981113</v>
      </c>
      <c r="K55" s="42" t="str">
        <f t="shared" si="14"/>
        <v>No rechazar H0</v>
      </c>
    </row>
    <row r="56" spans="1:11" x14ac:dyDescent="0.35">
      <c r="A56" s="42" t="s">
        <v>83</v>
      </c>
      <c r="B56" s="42" t="s">
        <v>84</v>
      </c>
      <c r="C56" s="9">
        <f t="shared" si="9"/>
        <v>5.1333333333333337</v>
      </c>
      <c r="D56" s="9">
        <f t="shared" si="10"/>
        <v>6.3966666666666674</v>
      </c>
      <c r="E56" s="9">
        <f t="shared" si="11"/>
        <v>-1.2633333333333336</v>
      </c>
      <c r="F56" s="42">
        <v>3</v>
      </c>
      <c r="G56" s="42">
        <v>3</v>
      </c>
      <c r="H56" s="9">
        <f t="shared" si="8"/>
        <v>0.35663083932205791</v>
      </c>
      <c r="I56" s="9">
        <f t="shared" si="12"/>
        <v>-3.5424119118102175</v>
      </c>
      <c r="J56" s="9">
        <f t="shared" si="13"/>
        <v>2.9862920511981113</v>
      </c>
      <c r="K56" s="42" t="str">
        <f t="shared" si="14"/>
        <v>Rechazar H0</v>
      </c>
    </row>
    <row r="57" spans="1:11" x14ac:dyDescent="0.35">
      <c r="A57" s="42" t="s">
        <v>84</v>
      </c>
      <c r="B57" s="42" t="s">
        <v>80</v>
      </c>
      <c r="C57" s="9">
        <f t="shared" si="9"/>
        <v>6.3966666666666674</v>
      </c>
      <c r="D57" s="9">
        <f t="shared" si="10"/>
        <v>4.62</v>
      </c>
      <c r="E57" s="9">
        <f t="shared" si="11"/>
        <v>1.7766666666666673</v>
      </c>
      <c r="F57" s="42">
        <v>3</v>
      </c>
      <c r="G57" s="42">
        <v>3</v>
      </c>
      <c r="H57" s="9">
        <f t="shared" si="8"/>
        <v>0.35663083932205791</v>
      </c>
      <c r="I57" s="9">
        <f t="shared" si="12"/>
        <v>4.9818088363980104</v>
      </c>
      <c r="J57" s="9">
        <f t="shared" si="13"/>
        <v>2.9862920511981113</v>
      </c>
      <c r="K57" s="42" t="str">
        <f t="shared" si="14"/>
        <v>Rechazar H0</v>
      </c>
    </row>
    <row r="58" spans="1:11" x14ac:dyDescent="0.35">
      <c r="A58" s="42" t="s">
        <v>84</v>
      </c>
      <c r="B58" s="42" t="s">
        <v>81</v>
      </c>
      <c r="C58" s="9">
        <f t="shared" si="9"/>
        <v>6.3966666666666674</v>
      </c>
      <c r="D58" s="9">
        <f t="shared" si="10"/>
        <v>6.12</v>
      </c>
      <c r="E58" s="9">
        <f t="shared" si="11"/>
        <v>0.27666666666666728</v>
      </c>
      <c r="F58" s="42">
        <v>3</v>
      </c>
      <c r="G58" s="42">
        <v>3</v>
      </c>
      <c r="H58" s="9">
        <f t="shared" si="8"/>
        <v>0.35663083932205791</v>
      </c>
      <c r="I58" s="9">
        <f t="shared" si="12"/>
        <v>0.77577886195316259</v>
      </c>
      <c r="J58" s="9">
        <f t="shared" si="13"/>
        <v>2.9862920511981113</v>
      </c>
      <c r="K58" s="42" t="str">
        <f t="shared" si="14"/>
        <v>No rechazar H0</v>
      </c>
    </row>
    <row r="59" spans="1:11" x14ac:dyDescent="0.35">
      <c r="A59" s="42" t="s">
        <v>84</v>
      </c>
      <c r="B59" s="42" t="s">
        <v>82</v>
      </c>
      <c r="C59" s="9">
        <f t="shared" si="9"/>
        <v>6.3966666666666674</v>
      </c>
      <c r="D59" s="9">
        <f t="shared" si="10"/>
        <v>5.2833333333333332</v>
      </c>
      <c r="E59" s="9">
        <f t="shared" si="11"/>
        <v>1.1133333333333342</v>
      </c>
      <c r="F59" s="42">
        <v>3</v>
      </c>
      <c r="G59" s="42">
        <v>3</v>
      </c>
      <c r="H59" s="9">
        <f t="shared" si="8"/>
        <v>0.35663083932205791</v>
      </c>
      <c r="I59" s="9">
        <f t="shared" si="12"/>
        <v>3.1218089143657339</v>
      </c>
      <c r="J59" s="9">
        <f t="shared" si="13"/>
        <v>2.9862920511981113</v>
      </c>
      <c r="K59" s="42" t="str">
        <f t="shared" si="14"/>
        <v>Rechazar H0</v>
      </c>
    </row>
    <row r="60" spans="1:11" x14ac:dyDescent="0.35">
      <c r="A60" s="42" t="s">
        <v>84</v>
      </c>
      <c r="B60" s="42" t="s">
        <v>83</v>
      </c>
      <c r="C60" s="9">
        <f t="shared" si="9"/>
        <v>6.3966666666666674</v>
      </c>
      <c r="D60" s="9">
        <f t="shared" si="10"/>
        <v>5.1333333333333337</v>
      </c>
      <c r="E60" s="9">
        <f t="shared" si="11"/>
        <v>1.2633333333333336</v>
      </c>
      <c r="F60" s="42">
        <v>3</v>
      </c>
      <c r="G60" s="42">
        <v>3</v>
      </c>
      <c r="H60" s="9">
        <f t="shared" si="8"/>
        <v>0.35663083932205791</v>
      </c>
      <c r="I60" s="9">
        <f t="shared" si="12"/>
        <v>3.5424119118102175</v>
      </c>
      <c r="J60" s="9">
        <f t="shared" si="13"/>
        <v>2.9862920511981113</v>
      </c>
      <c r="K60" s="42" t="str">
        <f t="shared" si="14"/>
        <v>Rechazar H0</v>
      </c>
    </row>
    <row r="64" spans="1:11" x14ac:dyDescent="0.35">
      <c r="A64" s="10" t="s">
        <v>78</v>
      </c>
      <c r="B64" s="10" t="s">
        <v>79</v>
      </c>
      <c r="C64" s="10" t="s">
        <v>60</v>
      </c>
      <c r="D64" s="10" t="s">
        <v>63</v>
      </c>
      <c r="E64" s="10" t="s">
        <v>69</v>
      </c>
      <c r="F64" s="10" t="s">
        <v>74</v>
      </c>
      <c r="G64" s="10" t="s">
        <v>75</v>
      </c>
    </row>
    <row r="65" spans="1:8" x14ac:dyDescent="0.35">
      <c r="A65" s="42" t="s">
        <v>80</v>
      </c>
      <c r="B65" s="42" t="s">
        <v>81</v>
      </c>
      <c r="C65" s="9">
        <v>-1.5</v>
      </c>
      <c r="D65" s="9">
        <v>0.35663083932205791</v>
      </c>
      <c r="E65" s="9">
        <v>2.9862920511981113</v>
      </c>
      <c r="F65" s="9">
        <f>C65-D65*E65</f>
        <v>-2.5650038406795721</v>
      </c>
      <c r="G65" s="9">
        <f>C65+D65*E65</f>
        <v>-0.43499615932042768</v>
      </c>
      <c r="H65" s="42" t="str">
        <f>IF(F65*G65&gt;0,"Rechazar H0","No rechazar H0")</f>
        <v>Rechazar H0</v>
      </c>
    </row>
    <row r="66" spans="1:8" x14ac:dyDescent="0.35">
      <c r="A66" s="42" t="s">
        <v>80</v>
      </c>
      <c r="B66" s="42" t="s">
        <v>82</v>
      </c>
      <c r="C66" s="9">
        <v>-0.66333333333333311</v>
      </c>
      <c r="D66" s="9">
        <v>0.35663083932205791</v>
      </c>
      <c r="E66" s="9">
        <v>2.9862920511981113</v>
      </c>
      <c r="F66" s="9">
        <f t="shared" ref="F66:F84" si="15">C66-D66*E66</f>
        <v>-1.7283371740129054</v>
      </c>
      <c r="G66" s="9">
        <f t="shared" ref="G66:G84" si="16">C66+D66*E66</f>
        <v>0.40167050734623921</v>
      </c>
      <c r="H66" s="42" t="str">
        <f t="shared" ref="H66:H84" si="17">IF(F66*G66&gt;0,"Rechazar H0","No rechazar H0")</f>
        <v>No rechazar H0</v>
      </c>
    </row>
    <row r="67" spans="1:8" x14ac:dyDescent="0.35">
      <c r="A67" s="42" t="s">
        <v>80</v>
      </c>
      <c r="B67" s="42" t="s">
        <v>83</v>
      </c>
      <c r="C67" s="9">
        <v>-0.51333333333333364</v>
      </c>
      <c r="D67" s="9">
        <v>0.35663083932205791</v>
      </c>
      <c r="E67" s="9">
        <v>2.9862920511981113</v>
      </c>
      <c r="F67" s="9">
        <f t="shared" si="15"/>
        <v>-1.578337174012906</v>
      </c>
      <c r="G67" s="9">
        <f t="shared" si="16"/>
        <v>0.55167050734623868</v>
      </c>
      <c r="H67" s="42" t="str">
        <f t="shared" si="17"/>
        <v>No rechazar H0</v>
      </c>
    </row>
    <row r="68" spans="1:8" x14ac:dyDescent="0.35">
      <c r="A68" s="42" t="s">
        <v>80</v>
      </c>
      <c r="B68" s="42" t="s">
        <v>84</v>
      </c>
      <c r="C68" s="9">
        <v>-1.7766666666666673</v>
      </c>
      <c r="D68" s="9">
        <v>0.35663083932205791</v>
      </c>
      <c r="E68" s="9">
        <v>2.9862920511981113</v>
      </c>
      <c r="F68" s="9">
        <f t="shared" si="15"/>
        <v>-2.8416705073462394</v>
      </c>
      <c r="G68" s="9">
        <f t="shared" si="16"/>
        <v>-0.71166282598709496</v>
      </c>
      <c r="H68" s="42" t="str">
        <f t="shared" si="17"/>
        <v>Rechazar H0</v>
      </c>
    </row>
    <row r="69" spans="1:8" x14ac:dyDescent="0.35">
      <c r="A69" s="42" t="s">
        <v>81</v>
      </c>
      <c r="B69" s="42" t="s">
        <v>80</v>
      </c>
      <c r="C69" s="9">
        <v>1.5</v>
      </c>
      <c r="D69" s="9">
        <v>0.35663083932205791</v>
      </c>
      <c r="E69" s="9">
        <v>2.9862920511981113</v>
      </c>
      <c r="F69" s="9">
        <f t="shared" si="15"/>
        <v>0.43499615932042768</v>
      </c>
      <c r="G69" s="9">
        <f t="shared" si="16"/>
        <v>2.5650038406795721</v>
      </c>
      <c r="H69" s="42" t="str">
        <f t="shared" si="17"/>
        <v>Rechazar H0</v>
      </c>
    </row>
    <row r="70" spans="1:8" x14ac:dyDescent="0.35">
      <c r="A70" s="42" t="s">
        <v>81</v>
      </c>
      <c r="B70" s="42" t="s">
        <v>82</v>
      </c>
      <c r="C70" s="9">
        <v>0.83666666666666689</v>
      </c>
      <c r="D70" s="9">
        <v>0.35663083932205791</v>
      </c>
      <c r="E70" s="9">
        <v>2.9862920511981113</v>
      </c>
      <c r="F70" s="9">
        <f t="shared" si="15"/>
        <v>-0.22833717401290543</v>
      </c>
      <c r="G70" s="9">
        <f t="shared" si="16"/>
        <v>1.9016705073462392</v>
      </c>
      <c r="H70" s="42" t="str">
        <f t="shared" si="17"/>
        <v>No rechazar H0</v>
      </c>
    </row>
    <row r="71" spans="1:8" x14ac:dyDescent="0.35">
      <c r="A71" s="42" t="s">
        <v>81</v>
      </c>
      <c r="B71" s="42" t="s">
        <v>83</v>
      </c>
      <c r="C71" s="9">
        <v>0.98666666666666636</v>
      </c>
      <c r="D71" s="9">
        <v>0.35663083932205791</v>
      </c>
      <c r="E71" s="9">
        <v>2.9862920511981113</v>
      </c>
      <c r="F71" s="9">
        <f t="shared" si="15"/>
        <v>-7.8337174012905963E-2</v>
      </c>
      <c r="G71" s="9">
        <f t="shared" si="16"/>
        <v>2.0516705073462385</v>
      </c>
      <c r="H71" s="42" t="str">
        <f t="shared" si="17"/>
        <v>No rechazar H0</v>
      </c>
    </row>
    <row r="72" spans="1:8" x14ac:dyDescent="0.35">
      <c r="A72" s="42" t="s">
        <v>81</v>
      </c>
      <c r="B72" s="42" t="s">
        <v>84</v>
      </c>
      <c r="C72" s="9">
        <v>-0.27666666666666728</v>
      </c>
      <c r="D72" s="9">
        <v>0.35663083932205791</v>
      </c>
      <c r="E72" s="9">
        <v>2.9862920511981113</v>
      </c>
      <c r="F72" s="9">
        <f t="shared" si="15"/>
        <v>-1.3416705073462396</v>
      </c>
      <c r="G72" s="9">
        <f t="shared" si="16"/>
        <v>0.78833717401290504</v>
      </c>
      <c r="H72" s="42" t="str">
        <f t="shared" si="17"/>
        <v>No rechazar H0</v>
      </c>
    </row>
    <row r="73" spans="1:8" x14ac:dyDescent="0.35">
      <c r="A73" s="42" t="s">
        <v>82</v>
      </c>
      <c r="B73" s="42" t="s">
        <v>80</v>
      </c>
      <c r="C73" s="9">
        <v>0.66333333333333311</v>
      </c>
      <c r="D73" s="9">
        <v>0.35663083932205791</v>
      </c>
      <c r="E73" s="9">
        <v>2.9862920511981113</v>
      </c>
      <c r="F73" s="9">
        <f t="shared" si="15"/>
        <v>-0.40167050734623921</v>
      </c>
      <c r="G73" s="9">
        <f t="shared" si="16"/>
        <v>1.7283371740129054</v>
      </c>
      <c r="H73" s="42" t="str">
        <f t="shared" si="17"/>
        <v>No rechazar H0</v>
      </c>
    </row>
    <row r="74" spans="1:8" x14ac:dyDescent="0.35">
      <c r="A74" s="42" t="s">
        <v>82</v>
      </c>
      <c r="B74" s="42" t="s">
        <v>81</v>
      </c>
      <c r="C74" s="9">
        <v>-0.83666666666666689</v>
      </c>
      <c r="D74" s="9">
        <v>0.35663083932205791</v>
      </c>
      <c r="E74" s="9">
        <v>2.9862920511981113</v>
      </c>
      <c r="F74" s="9">
        <f t="shared" si="15"/>
        <v>-1.9016705073462392</v>
      </c>
      <c r="G74" s="9">
        <f t="shared" si="16"/>
        <v>0.22833717401290543</v>
      </c>
      <c r="H74" s="42" t="str">
        <f t="shared" si="17"/>
        <v>No rechazar H0</v>
      </c>
    </row>
    <row r="75" spans="1:8" x14ac:dyDescent="0.35">
      <c r="A75" s="42" t="s">
        <v>82</v>
      </c>
      <c r="B75" s="42" t="s">
        <v>83</v>
      </c>
      <c r="C75" s="9">
        <v>0.14999999999999947</v>
      </c>
      <c r="D75" s="9">
        <v>0.35663083932205791</v>
      </c>
      <c r="E75" s="9">
        <v>2.9862920511981113</v>
      </c>
      <c r="F75" s="9">
        <f t="shared" si="15"/>
        <v>-0.91500384067957286</v>
      </c>
      <c r="G75" s="9">
        <f t="shared" si="16"/>
        <v>1.2150038406795718</v>
      </c>
      <c r="H75" s="42" t="str">
        <f t="shared" si="17"/>
        <v>No rechazar H0</v>
      </c>
    </row>
    <row r="76" spans="1:8" x14ac:dyDescent="0.35">
      <c r="A76" s="42" t="s">
        <v>82</v>
      </c>
      <c r="B76" s="42" t="s">
        <v>84</v>
      </c>
      <c r="C76" s="9">
        <v>-1.1133333333333342</v>
      </c>
      <c r="D76" s="9">
        <v>0.35663083932205791</v>
      </c>
      <c r="E76" s="9">
        <v>2.9862920511981113</v>
      </c>
      <c r="F76" s="9">
        <f t="shared" si="15"/>
        <v>-2.1783371740129063</v>
      </c>
      <c r="G76" s="9">
        <f t="shared" si="16"/>
        <v>-4.8329492653761852E-2</v>
      </c>
      <c r="H76" s="42" t="str">
        <f t="shared" si="17"/>
        <v>Rechazar H0</v>
      </c>
    </row>
    <row r="77" spans="1:8" x14ac:dyDescent="0.35">
      <c r="A77" s="42" t="s">
        <v>83</v>
      </c>
      <c r="B77" s="42" t="s">
        <v>80</v>
      </c>
      <c r="C77" s="9">
        <v>0.51333333333333364</v>
      </c>
      <c r="D77" s="9">
        <v>0.35663083932205791</v>
      </c>
      <c r="E77" s="9">
        <v>2.9862920511981113</v>
      </c>
      <c r="F77" s="9">
        <f t="shared" si="15"/>
        <v>-0.55167050734623868</v>
      </c>
      <c r="G77" s="9">
        <f t="shared" si="16"/>
        <v>1.578337174012906</v>
      </c>
      <c r="H77" s="42" t="str">
        <f t="shared" si="17"/>
        <v>No rechazar H0</v>
      </c>
    </row>
    <row r="78" spans="1:8" x14ac:dyDescent="0.35">
      <c r="A78" s="42" t="s">
        <v>83</v>
      </c>
      <c r="B78" s="42" t="s">
        <v>81</v>
      </c>
      <c r="C78" s="9">
        <v>-0.98666666666666636</v>
      </c>
      <c r="D78" s="9">
        <v>0.35663083932205791</v>
      </c>
      <c r="E78" s="9">
        <v>2.9862920511981113</v>
      </c>
      <c r="F78" s="9">
        <f t="shared" si="15"/>
        <v>-2.0516705073462385</v>
      </c>
      <c r="G78" s="9">
        <f t="shared" si="16"/>
        <v>7.8337174012905963E-2</v>
      </c>
      <c r="H78" s="42" t="str">
        <f t="shared" si="17"/>
        <v>No rechazar H0</v>
      </c>
    </row>
    <row r="79" spans="1:8" x14ac:dyDescent="0.35">
      <c r="A79" s="42" t="s">
        <v>83</v>
      </c>
      <c r="B79" s="42" t="s">
        <v>82</v>
      </c>
      <c r="C79" s="9">
        <v>-0.14999999999999947</v>
      </c>
      <c r="D79" s="9">
        <v>0.35663083932205791</v>
      </c>
      <c r="E79" s="9">
        <v>2.9862920511981113</v>
      </c>
      <c r="F79" s="9">
        <f t="shared" si="15"/>
        <v>-1.2150038406795718</v>
      </c>
      <c r="G79" s="9">
        <f t="shared" si="16"/>
        <v>0.91500384067957286</v>
      </c>
      <c r="H79" s="42" t="str">
        <f t="shared" si="17"/>
        <v>No rechazar H0</v>
      </c>
    </row>
    <row r="80" spans="1:8" x14ac:dyDescent="0.35">
      <c r="A80" s="42" t="s">
        <v>83</v>
      </c>
      <c r="B80" s="42" t="s">
        <v>84</v>
      </c>
      <c r="C80" s="9">
        <v>-1.2633333333333336</v>
      </c>
      <c r="D80" s="9">
        <v>0.35663083932205791</v>
      </c>
      <c r="E80" s="9">
        <v>2.9862920511981113</v>
      </c>
      <c r="F80" s="9">
        <f t="shared" si="15"/>
        <v>-2.3283371740129057</v>
      </c>
      <c r="G80" s="9">
        <f t="shared" si="16"/>
        <v>-0.19832949265376132</v>
      </c>
      <c r="H80" s="42" t="str">
        <f t="shared" si="17"/>
        <v>Rechazar H0</v>
      </c>
    </row>
    <row r="81" spans="1:8" x14ac:dyDescent="0.35">
      <c r="A81" s="42" t="s">
        <v>84</v>
      </c>
      <c r="B81" s="42" t="s">
        <v>80</v>
      </c>
      <c r="C81" s="9">
        <v>1.7766666666666673</v>
      </c>
      <c r="D81" s="9">
        <v>0.35663083932205791</v>
      </c>
      <c r="E81" s="9">
        <v>2.9862920511981113</v>
      </c>
      <c r="F81" s="9">
        <f t="shared" si="15"/>
        <v>0.71166282598709496</v>
      </c>
      <c r="G81" s="9">
        <f t="shared" si="16"/>
        <v>2.8416705073462394</v>
      </c>
      <c r="H81" s="42" t="str">
        <f t="shared" si="17"/>
        <v>Rechazar H0</v>
      </c>
    </row>
    <row r="82" spans="1:8" x14ac:dyDescent="0.35">
      <c r="A82" s="42" t="s">
        <v>84</v>
      </c>
      <c r="B82" s="42" t="s">
        <v>81</v>
      </c>
      <c r="C82" s="9">
        <v>0.27666666666666728</v>
      </c>
      <c r="D82" s="9">
        <v>0.35663083932205791</v>
      </c>
      <c r="E82" s="9">
        <v>2.9862920511981113</v>
      </c>
      <c r="F82" s="9">
        <f t="shared" si="15"/>
        <v>-0.78833717401290504</v>
      </c>
      <c r="G82" s="9">
        <f t="shared" si="16"/>
        <v>1.3416705073462396</v>
      </c>
      <c r="H82" s="42" t="str">
        <f t="shared" si="17"/>
        <v>No rechazar H0</v>
      </c>
    </row>
    <row r="83" spans="1:8" x14ac:dyDescent="0.35">
      <c r="A83" s="42" t="s">
        <v>84</v>
      </c>
      <c r="B83" s="42" t="s">
        <v>82</v>
      </c>
      <c r="C83" s="9">
        <v>1.1133333333333342</v>
      </c>
      <c r="D83" s="9">
        <v>0.35663083932205791</v>
      </c>
      <c r="E83" s="9">
        <v>2.9862920511981113</v>
      </c>
      <c r="F83" s="9">
        <f t="shared" si="15"/>
        <v>4.8329492653761852E-2</v>
      </c>
      <c r="G83" s="9">
        <f t="shared" si="16"/>
        <v>2.1783371740129063</v>
      </c>
      <c r="H83" s="42" t="str">
        <f t="shared" si="17"/>
        <v>Rechazar H0</v>
      </c>
    </row>
    <row r="84" spans="1:8" x14ac:dyDescent="0.35">
      <c r="A84" s="42" t="s">
        <v>84</v>
      </c>
      <c r="B84" s="42" t="s">
        <v>83</v>
      </c>
      <c r="C84" s="9">
        <v>1.2633333333333336</v>
      </c>
      <c r="D84" s="9">
        <v>0.35663083932205791</v>
      </c>
      <c r="E84" s="9">
        <v>2.9862920511981113</v>
      </c>
      <c r="F84" s="9">
        <f t="shared" si="15"/>
        <v>0.19832949265376132</v>
      </c>
      <c r="G84" s="9">
        <f t="shared" si="16"/>
        <v>2.3283371740129057</v>
      </c>
      <c r="H84" s="42" t="str">
        <f t="shared" si="17"/>
        <v>Rechazar H0</v>
      </c>
    </row>
  </sheetData>
  <mergeCells count="4">
    <mergeCell ref="F9:G9"/>
    <mergeCell ref="F39:G39"/>
    <mergeCell ref="B29:C29"/>
    <mergeCell ref="E2:F2"/>
  </mergeCells>
  <phoneticPr fontId="9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B3ECB2-A5B5-4CCD-84FB-54BEF3BA8170}">
  <dimension ref="A2:K75"/>
  <sheetViews>
    <sheetView topLeftCell="A18" zoomScale="85" zoomScaleNormal="85" workbookViewId="0">
      <selection activeCell="F64" sqref="F64:H64"/>
    </sheetView>
  </sheetViews>
  <sheetFormatPr defaultRowHeight="14.5" x14ac:dyDescent="0.35"/>
  <cols>
    <col min="1" max="1" width="18.453125" bestFit="1" customWidth="1"/>
    <col min="2" max="2" width="18.81640625" customWidth="1"/>
    <col min="3" max="3" width="13" bestFit="1" customWidth="1"/>
    <col min="4" max="4" width="16.81640625" bestFit="1" customWidth="1"/>
    <col min="5" max="5" width="18.453125" bestFit="1" customWidth="1"/>
    <col min="7" max="7" width="20.81640625" customWidth="1"/>
    <col min="8" max="8" width="13.6328125" bestFit="1" customWidth="1"/>
    <col min="9" max="9" width="15.54296875" bestFit="1" customWidth="1"/>
    <col min="10" max="10" width="15.08984375" bestFit="1" customWidth="1"/>
    <col min="11" max="11" width="13.6328125" bestFit="1" customWidth="1"/>
    <col min="12" max="12" width="11.81640625" bestFit="1" customWidth="1"/>
  </cols>
  <sheetData>
    <row r="2" spans="1:5" x14ac:dyDescent="0.35">
      <c r="B2" s="152" t="s">
        <v>91</v>
      </c>
      <c r="C2" s="152"/>
      <c r="D2" s="152"/>
      <c r="E2" s="152"/>
    </row>
    <row r="3" spans="1:5" x14ac:dyDescent="0.35">
      <c r="A3" s="52" t="s">
        <v>0</v>
      </c>
      <c r="B3" s="53" t="s">
        <v>87</v>
      </c>
      <c r="C3" s="53" t="s">
        <v>88</v>
      </c>
      <c r="D3" s="53" t="s">
        <v>89</v>
      </c>
      <c r="E3" s="53" t="s">
        <v>90</v>
      </c>
    </row>
    <row r="4" spans="1:5" x14ac:dyDescent="0.35">
      <c r="A4" s="52">
        <v>1</v>
      </c>
      <c r="B4" s="41">
        <v>1.3</v>
      </c>
      <c r="C4" s="41">
        <v>2.2000000000000002</v>
      </c>
      <c r="D4" s="41">
        <v>1.8</v>
      </c>
      <c r="E4" s="41">
        <v>3.9</v>
      </c>
    </row>
    <row r="5" spans="1:5" x14ac:dyDescent="0.35">
      <c r="A5" s="52">
        <v>2</v>
      </c>
      <c r="B5" s="41">
        <v>1.6</v>
      </c>
      <c r="C5" s="41">
        <v>2.4</v>
      </c>
      <c r="D5" s="41">
        <v>1.7</v>
      </c>
      <c r="E5" s="41">
        <v>4.4000000000000004</v>
      </c>
    </row>
    <row r="6" spans="1:5" x14ac:dyDescent="0.35">
      <c r="A6" s="52">
        <v>3</v>
      </c>
      <c r="B6" s="41">
        <v>0.5</v>
      </c>
      <c r="C6" s="41">
        <v>0.4</v>
      </c>
      <c r="D6" s="41">
        <v>0.6</v>
      </c>
      <c r="E6" s="41">
        <v>2</v>
      </c>
    </row>
    <row r="7" spans="1:5" x14ac:dyDescent="0.35">
      <c r="A7" s="52">
        <v>4</v>
      </c>
      <c r="B7" s="41">
        <v>1.2</v>
      </c>
      <c r="C7" s="41">
        <v>2</v>
      </c>
      <c r="D7" s="41">
        <v>1.5</v>
      </c>
      <c r="E7" s="41">
        <v>4.0999999999999996</v>
      </c>
    </row>
    <row r="8" spans="1:5" x14ac:dyDescent="0.35">
      <c r="A8" s="52">
        <v>5</v>
      </c>
      <c r="B8" s="41">
        <v>1.1000000000000001</v>
      </c>
      <c r="C8" s="41">
        <v>1.8</v>
      </c>
      <c r="D8" s="41">
        <v>1.3</v>
      </c>
      <c r="E8" s="41">
        <v>3.4</v>
      </c>
    </row>
    <row r="13" spans="1:5" x14ac:dyDescent="0.35">
      <c r="B13" t="s">
        <v>17</v>
      </c>
    </row>
    <row r="14" spans="1:5" ht="15" thickBot="1" x14ac:dyDescent="0.4"/>
    <row r="15" spans="1:5" x14ac:dyDescent="0.35">
      <c r="A15" s="5" t="s">
        <v>18</v>
      </c>
      <c r="B15" s="5" t="s">
        <v>19</v>
      </c>
      <c r="C15" s="5" t="s">
        <v>20</v>
      </c>
      <c r="D15" s="5" t="s">
        <v>21</v>
      </c>
      <c r="E15" s="5" t="s">
        <v>22</v>
      </c>
    </row>
    <row r="16" spans="1:5" x14ac:dyDescent="0.35">
      <c r="A16" s="54">
        <v>1</v>
      </c>
      <c r="B16" s="3">
        <v>4</v>
      </c>
      <c r="C16" s="3">
        <v>9.1999999999999993</v>
      </c>
      <c r="D16" s="57">
        <v>2.2999999999999998</v>
      </c>
      <c r="E16" s="3">
        <v>1.2733333333333345</v>
      </c>
    </row>
    <row r="17" spans="1:7" x14ac:dyDescent="0.35">
      <c r="A17" s="54">
        <v>2</v>
      </c>
      <c r="B17" s="3">
        <v>4</v>
      </c>
      <c r="C17" s="3">
        <v>10.100000000000001</v>
      </c>
      <c r="D17" s="57">
        <v>2.5250000000000004</v>
      </c>
      <c r="E17" s="3">
        <v>1.6891666666666652</v>
      </c>
    </row>
    <row r="18" spans="1:7" x14ac:dyDescent="0.35">
      <c r="A18" s="54">
        <v>3</v>
      </c>
      <c r="B18" s="3">
        <v>4</v>
      </c>
      <c r="C18" s="3">
        <v>3.5</v>
      </c>
      <c r="D18" s="57">
        <v>0.875</v>
      </c>
      <c r="E18" s="3">
        <v>0.56916666666666649</v>
      </c>
    </row>
    <row r="19" spans="1:7" x14ac:dyDescent="0.35">
      <c r="A19" s="54">
        <v>4</v>
      </c>
      <c r="B19" s="3">
        <v>4</v>
      </c>
      <c r="C19" s="3">
        <v>8.8000000000000007</v>
      </c>
      <c r="D19" s="57">
        <v>2.2000000000000002</v>
      </c>
      <c r="E19" s="3">
        <v>1.7133333333333323</v>
      </c>
    </row>
    <row r="20" spans="1:7" x14ac:dyDescent="0.35">
      <c r="A20" s="54">
        <v>5</v>
      </c>
      <c r="B20" s="3">
        <v>4</v>
      </c>
      <c r="C20" s="3">
        <v>7.6</v>
      </c>
      <c r="D20" s="57">
        <v>1.9</v>
      </c>
      <c r="E20" s="3">
        <v>1.0866666666666667</v>
      </c>
    </row>
    <row r="21" spans="1:7" x14ac:dyDescent="0.35">
      <c r="A21" s="3"/>
      <c r="B21" s="3"/>
      <c r="C21" s="3"/>
      <c r="D21" s="3"/>
      <c r="E21" s="3"/>
    </row>
    <row r="22" spans="1:7" x14ac:dyDescent="0.35">
      <c r="A22" s="54" t="s">
        <v>87</v>
      </c>
      <c r="B22" s="3">
        <v>5</v>
      </c>
      <c r="C22" s="3">
        <v>5.7000000000000011</v>
      </c>
      <c r="D22" s="58">
        <v>1.1400000000000001</v>
      </c>
      <c r="E22" s="3">
        <v>0.16299999999999981</v>
      </c>
    </row>
    <row r="23" spans="1:7" x14ac:dyDescent="0.35">
      <c r="A23" s="54" t="s">
        <v>88</v>
      </c>
      <c r="B23" s="3">
        <v>5</v>
      </c>
      <c r="C23" s="3">
        <v>8.8000000000000007</v>
      </c>
      <c r="D23" s="58">
        <v>1.7600000000000002</v>
      </c>
      <c r="E23" s="3">
        <v>0.62799999999999923</v>
      </c>
    </row>
    <row r="24" spans="1:7" x14ac:dyDescent="0.35">
      <c r="A24" s="54" t="s">
        <v>89</v>
      </c>
      <c r="B24" s="3">
        <v>5</v>
      </c>
      <c r="C24" s="3">
        <v>6.8999999999999995</v>
      </c>
      <c r="D24" s="58">
        <v>1.38</v>
      </c>
      <c r="E24" s="3">
        <v>0.22700000000000031</v>
      </c>
    </row>
    <row r="25" spans="1:7" ht="15" thickBot="1" x14ac:dyDescent="0.4">
      <c r="A25" s="55" t="s">
        <v>90</v>
      </c>
      <c r="B25" s="4">
        <v>5</v>
      </c>
      <c r="C25" s="4">
        <v>17.8</v>
      </c>
      <c r="D25" s="59">
        <v>3.56</v>
      </c>
      <c r="E25" s="4">
        <v>0.89299999999999713</v>
      </c>
    </row>
    <row r="28" spans="1:7" ht="15" thickBot="1" x14ac:dyDescent="0.4">
      <c r="A28" t="s">
        <v>31</v>
      </c>
    </row>
    <row r="29" spans="1:7" x14ac:dyDescent="0.35">
      <c r="A29" s="5" t="s">
        <v>32</v>
      </c>
      <c r="B29" s="5" t="s">
        <v>33</v>
      </c>
      <c r="C29" s="5" t="s">
        <v>34</v>
      </c>
      <c r="D29" s="5" t="s">
        <v>35</v>
      </c>
      <c r="E29" s="5" t="s">
        <v>13</v>
      </c>
      <c r="F29" s="5" t="s">
        <v>36</v>
      </c>
      <c r="G29" s="5" t="s">
        <v>37</v>
      </c>
    </row>
    <row r="30" spans="1:7" x14ac:dyDescent="0.35">
      <c r="A30" s="54" t="s">
        <v>38</v>
      </c>
      <c r="B30" s="3">
        <v>6.6930000000000049</v>
      </c>
      <c r="C30" s="3">
        <v>4</v>
      </c>
      <c r="D30" s="3">
        <v>1.6732500000000012</v>
      </c>
      <c r="E30" s="3">
        <v>21.113564668769879</v>
      </c>
      <c r="F30" s="56">
        <v>2.3189128143267855E-5</v>
      </c>
      <c r="G30" s="3">
        <v>3.2591667269012499</v>
      </c>
    </row>
    <row r="31" spans="1:7" x14ac:dyDescent="0.35">
      <c r="A31" s="54" t="s">
        <v>39</v>
      </c>
      <c r="B31" s="3">
        <v>18.044000000000004</v>
      </c>
      <c r="C31" s="3">
        <v>3</v>
      </c>
      <c r="D31" s="3">
        <v>6.0146666666666677</v>
      </c>
      <c r="E31" s="3">
        <v>75.894847528917467</v>
      </c>
      <c r="F31" s="56">
        <v>4.5183098453575343E-8</v>
      </c>
      <c r="G31" s="3">
        <v>3.4902948194976045</v>
      </c>
    </row>
    <row r="32" spans="1:7" x14ac:dyDescent="0.35">
      <c r="A32" s="54" t="s">
        <v>40</v>
      </c>
      <c r="B32" s="3">
        <v>0.95099999999999341</v>
      </c>
      <c r="C32" s="3">
        <v>12</v>
      </c>
      <c r="D32" s="60">
        <v>7.9249999999999446E-2</v>
      </c>
      <c r="E32" s="3"/>
      <c r="F32" s="3"/>
      <c r="G32" s="3"/>
    </row>
    <row r="33" spans="1:11" x14ac:dyDescent="0.35">
      <c r="A33" s="3"/>
      <c r="B33" s="3"/>
      <c r="C33" s="3"/>
      <c r="D33" s="3"/>
      <c r="E33" s="3"/>
      <c r="F33" s="3"/>
      <c r="G33" s="3"/>
    </row>
    <row r="34" spans="1:11" ht="15" thickBot="1" x14ac:dyDescent="0.4">
      <c r="A34" s="4" t="s">
        <v>8</v>
      </c>
      <c r="B34" s="4">
        <v>25.688000000000002</v>
      </c>
      <c r="C34" s="4">
        <v>19</v>
      </c>
      <c r="D34" s="4"/>
      <c r="E34" s="4"/>
      <c r="F34" s="4"/>
      <c r="G34" s="4"/>
    </row>
    <row r="37" spans="1:11" x14ac:dyDescent="0.35">
      <c r="A37" s="10" t="s">
        <v>51</v>
      </c>
      <c r="B37" s="41">
        <f>D32</f>
        <v>7.9249999999999446E-2</v>
      </c>
    </row>
    <row r="38" spans="1:11" x14ac:dyDescent="0.35">
      <c r="A38" s="10" t="s">
        <v>94</v>
      </c>
      <c r="B38" s="41">
        <f>COUNTA(A22:A25)</f>
        <v>4</v>
      </c>
      <c r="C38" s="10" t="s">
        <v>95</v>
      </c>
    </row>
    <row r="39" spans="1:11" x14ac:dyDescent="0.35">
      <c r="A39" s="10" t="s">
        <v>54</v>
      </c>
      <c r="B39" s="41">
        <f>COUNTA(A16:A20)</f>
        <v>5</v>
      </c>
      <c r="C39" s="10" t="s">
        <v>0</v>
      </c>
    </row>
    <row r="40" spans="1:11" x14ac:dyDescent="0.35">
      <c r="A40" s="10" t="s">
        <v>96</v>
      </c>
      <c r="B40" s="41">
        <v>0.05</v>
      </c>
    </row>
    <row r="42" spans="1:11" ht="23.5" x14ac:dyDescent="0.55000000000000004">
      <c r="D42" s="62" t="s">
        <v>97</v>
      </c>
    </row>
    <row r="43" spans="1:11" x14ac:dyDescent="0.35">
      <c r="A43" s="54" t="s">
        <v>87</v>
      </c>
      <c r="B43">
        <v>1.1400000000000001</v>
      </c>
    </row>
    <row r="44" spans="1:11" x14ac:dyDescent="0.35">
      <c r="A44" s="54" t="s">
        <v>88</v>
      </c>
      <c r="B44">
        <v>1.7600000000000002</v>
      </c>
    </row>
    <row r="45" spans="1:11" x14ac:dyDescent="0.35">
      <c r="A45" s="54" t="s">
        <v>89</v>
      </c>
      <c r="B45">
        <v>1.38</v>
      </c>
    </row>
    <row r="46" spans="1:11" x14ac:dyDescent="0.35">
      <c r="A46" s="54" t="s">
        <v>90</v>
      </c>
      <c r="B46">
        <v>3.56</v>
      </c>
    </row>
    <row r="48" spans="1:11" x14ac:dyDescent="0.35">
      <c r="A48" s="10" t="s">
        <v>98</v>
      </c>
      <c r="B48" s="10" t="s">
        <v>99</v>
      </c>
      <c r="C48" s="10" t="s">
        <v>58</v>
      </c>
      <c r="D48" s="10" t="s">
        <v>59</v>
      </c>
      <c r="E48" s="10" t="s">
        <v>60</v>
      </c>
      <c r="F48" s="10" t="s">
        <v>61</v>
      </c>
      <c r="G48" s="10" t="s">
        <v>62</v>
      </c>
      <c r="H48" s="10" t="s">
        <v>63</v>
      </c>
      <c r="I48" s="10" t="s">
        <v>67</v>
      </c>
      <c r="J48" s="10" t="s">
        <v>69</v>
      </c>
      <c r="K48" s="10" t="s">
        <v>70</v>
      </c>
    </row>
    <row r="49" spans="1:11" x14ac:dyDescent="0.35">
      <c r="A49" s="54" t="s">
        <v>87</v>
      </c>
      <c r="B49" s="54" t="s">
        <v>88</v>
      </c>
      <c r="C49" s="9">
        <f>VLOOKUP(A49,$A$43:$B$46,2,0)</f>
        <v>1.1400000000000001</v>
      </c>
      <c r="D49" s="9">
        <f>VLOOKUP(B49,$A$43:$B$46,2,0)</f>
        <v>1.7600000000000002</v>
      </c>
      <c r="E49" s="9">
        <f>C49-D49</f>
        <v>-0.62000000000000011</v>
      </c>
      <c r="F49" s="42">
        <v>5</v>
      </c>
      <c r="G49" s="42">
        <v>5</v>
      </c>
      <c r="H49" s="9">
        <f>SQRT($B$37*(1/$F$49+1/$G$49))</f>
        <v>0.17804493814764794</v>
      </c>
      <c r="I49" s="9">
        <f>E49/H49</f>
        <v>-3.4822669290707418</v>
      </c>
      <c r="J49" s="9">
        <f>SQRT(($B$38-1)*_xlfn.F.INV.RT($B$40,($B$38-1),($B$38-1)*(($B$39-1))))</f>
        <v>3.235874604877762</v>
      </c>
      <c r="K49" s="42" t="str">
        <f>IF(ABS(I49)&gt;J49,"Rechazar H0","No rechazar H0")</f>
        <v>Rechazar H0</v>
      </c>
    </row>
    <row r="50" spans="1:11" x14ac:dyDescent="0.35">
      <c r="A50" s="54" t="s">
        <v>87</v>
      </c>
      <c r="B50" s="54" t="s">
        <v>89</v>
      </c>
      <c r="C50" s="9">
        <f t="shared" ref="C50:C60" si="0">VLOOKUP(A50,$A$43:$B$46,2,0)</f>
        <v>1.1400000000000001</v>
      </c>
      <c r="D50" s="9">
        <f t="shared" ref="D50:D60" si="1">VLOOKUP(B50,$A$43:$B$46,2,0)</f>
        <v>1.38</v>
      </c>
      <c r="E50" s="9">
        <f t="shared" ref="E50:E60" si="2">C50-D50</f>
        <v>-0.23999999999999977</v>
      </c>
      <c r="F50" s="42">
        <v>5</v>
      </c>
      <c r="G50" s="42">
        <v>5</v>
      </c>
      <c r="H50" s="9">
        <f t="shared" ref="H50:H60" si="3">SQRT($B$37*(1/$F$49+1/$G$49))</f>
        <v>0.17804493814764794</v>
      </c>
      <c r="I50" s="9">
        <f t="shared" ref="I50:I60" si="4">E50/H50</f>
        <v>-1.3479742951241565</v>
      </c>
      <c r="J50" s="9">
        <f t="shared" ref="J50:J60" si="5">SQRT(($B$38-1)*_xlfn.F.INV.RT($B$40,($B$38-1),($B$38-1)*(($B$39-1))))</f>
        <v>3.235874604877762</v>
      </c>
      <c r="K50" s="42" t="str">
        <f t="shared" ref="K50:K60" si="6">IF(ABS(I50)&gt;J50,"Rechazar H0","No rechazar H0")</f>
        <v>No rechazar H0</v>
      </c>
    </row>
    <row r="51" spans="1:11" x14ac:dyDescent="0.35">
      <c r="A51" s="54" t="s">
        <v>87</v>
      </c>
      <c r="B51" s="54" t="s">
        <v>90</v>
      </c>
      <c r="C51" s="9">
        <f t="shared" si="0"/>
        <v>1.1400000000000001</v>
      </c>
      <c r="D51" s="9">
        <f t="shared" si="1"/>
        <v>3.56</v>
      </c>
      <c r="E51" s="9">
        <f t="shared" si="2"/>
        <v>-2.42</v>
      </c>
      <c r="F51" s="42">
        <v>5</v>
      </c>
      <c r="G51" s="42">
        <v>5</v>
      </c>
      <c r="H51" s="9">
        <f t="shared" si="3"/>
        <v>0.17804493814764794</v>
      </c>
      <c r="I51" s="9">
        <f t="shared" si="4"/>
        <v>-13.592074142501923</v>
      </c>
      <c r="J51" s="9">
        <f t="shared" si="5"/>
        <v>3.235874604877762</v>
      </c>
      <c r="K51" s="42" t="str">
        <f t="shared" si="6"/>
        <v>Rechazar H0</v>
      </c>
    </row>
    <row r="52" spans="1:11" x14ac:dyDescent="0.35">
      <c r="A52" s="54" t="s">
        <v>88</v>
      </c>
      <c r="B52" s="54" t="s">
        <v>87</v>
      </c>
      <c r="C52" s="9">
        <f t="shared" si="0"/>
        <v>1.7600000000000002</v>
      </c>
      <c r="D52" s="9">
        <f t="shared" si="1"/>
        <v>1.1400000000000001</v>
      </c>
      <c r="E52" s="9">
        <f t="shared" si="2"/>
        <v>0.62000000000000011</v>
      </c>
      <c r="F52" s="42">
        <v>5</v>
      </c>
      <c r="G52" s="42">
        <v>5</v>
      </c>
      <c r="H52" s="9">
        <f t="shared" si="3"/>
        <v>0.17804493814764794</v>
      </c>
      <c r="I52" s="9">
        <f t="shared" si="4"/>
        <v>3.4822669290707418</v>
      </c>
      <c r="J52" s="9">
        <f t="shared" si="5"/>
        <v>3.235874604877762</v>
      </c>
      <c r="K52" s="42" t="str">
        <f t="shared" si="6"/>
        <v>Rechazar H0</v>
      </c>
    </row>
    <row r="53" spans="1:11" x14ac:dyDescent="0.35">
      <c r="A53" s="54" t="s">
        <v>88</v>
      </c>
      <c r="B53" s="54" t="s">
        <v>89</v>
      </c>
      <c r="C53" s="9">
        <f t="shared" si="0"/>
        <v>1.7600000000000002</v>
      </c>
      <c r="D53" s="9">
        <f t="shared" si="1"/>
        <v>1.38</v>
      </c>
      <c r="E53" s="9">
        <f t="shared" si="2"/>
        <v>0.38000000000000034</v>
      </c>
      <c r="F53" s="42">
        <v>5</v>
      </c>
      <c r="G53" s="42">
        <v>5</v>
      </c>
      <c r="H53" s="9">
        <f t="shared" si="3"/>
        <v>0.17804493814764794</v>
      </c>
      <c r="I53" s="9">
        <f t="shared" si="4"/>
        <v>2.1342926339465853</v>
      </c>
      <c r="J53" s="9">
        <f t="shared" si="5"/>
        <v>3.235874604877762</v>
      </c>
      <c r="K53" s="42" t="str">
        <f t="shared" si="6"/>
        <v>No rechazar H0</v>
      </c>
    </row>
    <row r="54" spans="1:11" x14ac:dyDescent="0.35">
      <c r="A54" s="54" t="s">
        <v>88</v>
      </c>
      <c r="B54" s="54" t="s">
        <v>90</v>
      </c>
      <c r="C54" s="9">
        <f t="shared" si="0"/>
        <v>1.7600000000000002</v>
      </c>
      <c r="D54" s="9">
        <f t="shared" si="1"/>
        <v>3.56</v>
      </c>
      <c r="E54" s="9">
        <f t="shared" si="2"/>
        <v>-1.7999999999999998</v>
      </c>
      <c r="F54" s="42">
        <v>5</v>
      </c>
      <c r="G54" s="42">
        <v>5</v>
      </c>
      <c r="H54" s="9">
        <f t="shared" si="3"/>
        <v>0.17804493814764794</v>
      </c>
      <c r="I54" s="9">
        <f t="shared" si="4"/>
        <v>-10.109807213431182</v>
      </c>
      <c r="J54" s="9">
        <f t="shared" si="5"/>
        <v>3.235874604877762</v>
      </c>
      <c r="K54" s="42" t="str">
        <f t="shared" si="6"/>
        <v>Rechazar H0</v>
      </c>
    </row>
    <row r="55" spans="1:11" x14ac:dyDescent="0.35">
      <c r="A55" s="54" t="s">
        <v>89</v>
      </c>
      <c r="B55" s="54" t="s">
        <v>87</v>
      </c>
      <c r="C55" s="9">
        <f t="shared" si="0"/>
        <v>1.38</v>
      </c>
      <c r="D55" s="9">
        <f t="shared" si="1"/>
        <v>1.1400000000000001</v>
      </c>
      <c r="E55" s="9">
        <f t="shared" si="2"/>
        <v>0.23999999999999977</v>
      </c>
      <c r="F55" s="42">
        <v>5</v>
      </c>
      <c r="G55" s="42">
        <v>5</v>
      </c>
      <c r="H55" s="9">
        <f t="shared" si="3"/>
        <v>0.17804493814764794</v>
      </c>
      <c r="I55" s="9">
        <f t="shared" si="4"/>
        <v>1.3479742951241565</v>
      </c>
      <c r="J55" s="9">
        <f t="shared" si="5"/>
        <v>3.235874604877762</v>
      </c>
      <c r="K55" s="42" t="str">
        <f t="shared" si="6"/>
        <v>No rechazar H0</v>
      </c>
    </row>
    <row r="56" spans="1:11" x14ac:dyDescent="0.35">
      <c r="A56" s="54" t="s">
        <v>89</v>
      </c>
      <c r="B56" s="54" t="s">
        <v>88</v>
      </c>
      <c r="C56" s="9">
        <f t="shared" si="0"/>
        <v>1.38</v>
      </c>
      <c r="D56" s="9">
        <f t="shared" si="1"/>
        <v>1.7600000000000002</v>
      </c>
      <c r="E56" s="9">
        <f t="shared" si="2"/>
        <v>-0.38000000000000034</v>
      </c>
      <c r="F56" s="42">
        <v>5</v>
      </c>
      <c r="G56" s="42">
        <v>5</v>
      </c>
      <c r="H56" s="9">
        <f t="shared" si="3"/>
        <v>0.17804493814764794</v>
      </c>
      <c r="I56" s="9">
        <f t="shared" si="4"/>
        <v>-2.1342926339465853</v>
      </c>
      <c r="J56" s="9">
        <f t="shared" si="5"/>
        <v>3.235874604877762</v>
      </c>
      <c r="K56" s="42" t="str">
        <f t="shared" si="6"/>
        <v>No rechazar H0</v>
      </c>
    </row>
    <row r="57" spans="1:11" x14ac:dyDescent="0.35">
      <c r="A57" s="54" t="s">
        <v>89</v>
      </c>
      <c r="B57" s="54" t="s">
        <v>90</v>
      </c>
      <c r="C57" s="9">
        <f t="shared" si="0"/>
        <v>1.38</v>
      </c>
      <c r="D57" s="9">
        <f t="shared" si="1"/>
        <v>3.56</v>
      </c>
      <c r="E57" s="9">
        <f t="shared" si="2"/>
        <v>-2.1800000000000002</v>
      </c>
      <c r="F57" s="42">
        <v>5</v>
      </c>
      <c r="G57" s="42">
        <v>5</v>
      </c>
      <c r="H57" s="9">
        <f t="shared" si="3"/>
        <v>0.17804493814764794</v>
      </c>
      <c r="I57" s="9">
        <f t="shared" si="4"/>
        <v>-12.244099847377768</v>
      </c>
      <c r="J57" s="9">
        <f t="shared" si="5"/>
        <v>3.235874604877762</v>
      </c>
      <c r="K57" s="42" t="str">
        <f t="shared" si="6"/>
        <v>Rechazar H0</v>
      </c>
    </row>
    <row r="58" spans="1:11" x14ac:dyDescent="0.35">
      <c r="A58" s="54" t="s">
        <v>90</v>
      </c>
      <c r="B58" s="54" t="s">
        <v>87</v>
      </c>
      <c r="C58" s="9">
        <f t="shared" si="0"/>
        <v>3.56</v>
      </c>
      <c r="D58" s="9">
        <f t="shared" si="1"/>
        <v>1.1400000000000001</v>
      </c>
      <c r="E58" s="9">
        <f t="shared" si="2"/>
        <v>2.42</v>
      </c>
      <c r="F58" s="42">
        <v>5</v>
      </c>
      <c r="G58" s="42">
        <v>5</v>
      </c>
      <c r="H58" s="9">
        <f t="shared" si="3"/>
        <v>0.17804493814764794</v>
      </c>
      <c r="I58" s="9">
        <f t="shared" si="4"/>
        <v>13.592074142501923</v>
      </c>
      <c r="J58" s="9">
        <f t="shared" si="5"/>
        <v>3.235874604877762</v>
      </c>
      <c r="K58" s="42" t="str">
        <f t="shared" si="6"/>
        <v>Rechazar H0</v>
      </c>
    </row>
    <row r="59" spans="1:11" x14ac:dyDescent="0.35">
      <c r="A59" s="54" t="s">
        <v>90</v>
      </c>
      <c r="B59" s="54" t="s">
        <v>88</v>
      </c>
      <c r="C59" s="9">
        <f t="shared" si="0"/>
        <v>3.56</v>
      </c>
      <c r="D59" s="9">
        <f t="shared" si="1"/>
        <v>1.7600000000000002</v>
      </c>
      <c r="E59" s="9">
        <f t="shared" si="2"/>
        <v>1.7999999999999998</v>
      </c>
      <c r="F59" s="42">
        <v>5</v>
      </c>
      <c r="G59" s="42">
        <v>5</v>
      </c>
      <c r="H59" s="9">
        <f t="shared" si="3"/>
        <v>0.17804493814764794</v>
      </c>
      <c r="I59" s="9">
        <f t="shared" si="4"/>
        <v>10.109807213431182</v>
      </c>
      <c r="J59" s="9">
        <f t="shared" si="5"/>
        <v>3.235874604877762</v>
      </c>
      <c r="K59" s="42" t="str">
        <f t="shared" si="6"/>
        <v>Rechazar H0</v>
      </c>
    </row>
    <row r="60" spans="1:11" x14ac:dyDescent="0.35">
      <c r="A60" s="54" t="s">
        <v>90</v>
      </c>
      <c r="B60" s="54" t="s">
        <v>89</v>
      </c>
      <c r="C60" s="9">
        <f t="shared" si="0"/>
        <v>3.56</v>
      </c>
      <c r="D60" s="9">
        <f t="shared" si="1"/>
        <v>1.38</v>
      </c>
      <c r="E60" s="9">
        <f t="shared" si="2"/>
        <v>2.1800000000000002</v>
      </c>
      <c r="F60" s="42">
        <v>5</v>
      </c>
      <c r="G60" s="42">
        <v>5</v>
      </c>
      <c r="H60" s="9">
        <f t="shared" si="3"/>
        <v>0.17804493814764794</v>
      </c>
      <c r="I60" s="9">
        <f t="shared" si="4"/>
        <v>12.244099847377768</v>
      </c>
      <c r="J60" s="9">
        <f t="shared" si="5"/>
        <v>3.235874604877762</v>
      </c>
      <c r="K60" s="42" t="str">
        <f t="shared" si="6"/>
        <v>Rechazar H0</v>
      </c>
    </row>
    <row r="63" spans="1:11" x14ac:dyDescent="0.35">
      <c r="A63" s="10" t="s">
        <v>98</v>
      </c>
      <c r="B63" s="10" t="s">
        <v>99</v>
      </c>
      <c r="C63" s="10" t="s">
        <v>60</v>
      </c>
      <c r="D63" s="10" t="s">
        <v>63</v>
      </c>
      <c r="E63" s="10" t="s">
        <v>69</v>
      </c>
      <c r="F63" s="10" t="s">
        <v>74</v>
      </c>
      <c r="G63" s="10" t="s">
        <v>75</v>
      </c>
    </row>
    <row r="64" spans="1:11" x14ac:dyDescent="0.35">
      <c r="A64" s="54" t="s">
        <v>87</v>
      </c>
      <c r="B64" s="54" t="s">
        <v>88</v>
      </c>
      <c r="C64" s="9">
        <v>-0.62000000000000011</v>
      </c>
      <c r="D64" s="9">
        <v>0.17804493814764794</v>
      </c>
      <c r="E64" s="9">
        <v>3.235874604877762</v>
      </c>
      <c r="F64" s="9">
        <f>C64-D64*E64</f>
        <v>-1.196131093879006</v>
      </c>
      <c r="G64" s="9">
        <f>C64+D64*E64</f>
        <v>-4.3868906120994255E-2</v>
      </c>
      <c r="H64" s="42" t="str">
        <f>IF(F64*G64&gt;0,"Rechazar H0","No rechazar H0")</f>
        <v>Rechazar H0</v>
      </c>
    </row>
    <row r="65" spans="1:8" x14ac:dyDescent="0.35">
      <c r="A65" s="54" t="s">
        <v>87</v>
      </c>
      <c r="B65" s="54" t="s">
        <v>89</v>
      </c>
      <c r="C65" s="9">
        <v>-0.23999999999999977</v>
      </c>
      <c r="D65" s="9">
        <v>0.17804493814764794</v>
      </c>
      <c r="E65" s="9">
        <v>3.235874604877762</v>
      </c>
      <c r="F65" s="9">
        <f t="shared" ref="F65:F69" si="7">C65-D65*E65</f>
        <v>-0.81613109387900562</v>
      </c>
      <c r="G65" s="9">
        <f t="shared" ref="G65:G69" si="8">C65+D65*E65</f>
        <v>0.33613109387900608</v>
      </c>
      <c r="H65" s="42" t="str">
        <f t="shared" ref="H65:H75" si="9">IF(F65*G65&gt;0,"Rechazar H0","No rechazar H0")</f>
        <v>No rechazar H0</v>
      </c>
    </row>
    <row r="66" spans="1:8" x14ac:dyDescent="0.35">
      <c r="A66" s="54" t="s">
        <v>87</v>
      </c>
      <c r="B66" s="54" t="s">
        <v>90</v>
      </c>
      <c r="C66" s="9">
        <v>-2.42</v>
      </c>
      <c r="D66" s="9">
        <v>0.17804493814764794</v>
      </c>
      <c r="E66" s="9">
        <v>3.235874604877762</v>
      </c>
      <c r="F66" s="9">
        <f t="shared" si="7"/>
        <v>-2.996131093879006</v>
      </c>
      <c r="G66" s="9">
        <f t="shared" si="8"/>
        <v>-1.8438689061209941</v>
      </c>
      <c r="H66" s="42" t="str">
        <f t="shared" si="9"/>
        <v>Rechazar H0</v>
      </c>
    </row>
    <row r="67" spans="1:8" x14ac:dyDescent="0.35">
      <c r="A67" s="54" t="s">
        <v>88</v>
      </c>
      <c r="B67" s="54" t="s">
        <v>87</v>
      </c>
      <c r="C67" s="9">
        <v>0.62000000000000011</v>
      </c>
      <c r="D67" s="9">
        <v>0.17804493814764794</v>
      </c>
      <c r="E67" s="9">
        <v>3.235874604877762</v>
      </c>
      <c r="F67" s="9">
        <f t="shared" si="7"/>
        <v>4.3868906120994255E-2</v>
      </c>
      <c r="G67" s="9">
        <f t="shared" si="8"/>
        <v>1.196131093879006</v>
      </c>
      <c r="H67" s="42" t="str">
        <f t="shared" si="9"/>
        <v>Rechazar H0</v>
      </c>
    </row>
    <row r="68" spans="1:8" x14ac:dyDescent="0.35">
      <c r="A68" s="54" t="s">
        <v>88</v>
      </c>
      <c r="B68" s="54" t="s">
        <v>89</v>
      </c>
      <c r="C68" s="9">
        <v>0.38000000000000034</v>
      </c>
      <c r="D68" s="9">
        <v>0.17804493814764794</v>
      </c>
      <c r="E68" s="9">
        <v>3.235874604877762</v>
      </c>
      <c r="F68" s="9">
        <f t="shared" si="7"/>
        <v>-0.19613109387900551</v>
      </c>
      <c r="G68" s="9">
        <f t="shared" si="8"/>
        <v>0.95613109387900619</v>
      </c>
      <c r="H68" s="42" t="str">
        <f t="shared" si="9"/>
        <v>No rechazar H0</v>
      </c>
    </row>
    <row r="69" spans="1:8" x14ac:dyDescent="0.35">
      <c r="A69" s="54" t="s">
        <v>88</v>
      </c>
      <c r="B69" s="54" t="s">
        <v>90</v>
      </c>
      <c r="C69" s="9">
        <v>-1.7999999999999998</v>
      </c>
      <c r="D69" s="9">
        <v>0.17804493814764794</v>
      </c>
      <c r="E69" s="9">
        <v>3.235874604877762</v>
      </c>
      <c r="F69" s="9">
        <f t="shared" si="7"/>
        <v>-2.3761310938790059</v>
      </c>
      <c r="G69" s="9">
        <f t="shared" si="8"/>
        <v>-1.223868906120994</v>
      </c>
      <c r="H69" s="42" t="str">
        <f t="shared" si="9"/>
        <v>Rechazar H0</v>
      </c>
    </row>
    <row r="70" spans="1:8" x14ac:dyDescent="0.35">
      <c r="A70" s="54" t="s">
        <v>89</v>
      </c>
      <c r="B70" s="54" t="s">
        <v>87</v>
      </c>
      <c r="C70" s="9">
        <v>0.23999999999999977</v>
      </c>
      <c r="D70" s="9">
        <v>0.17804493814764794</v>
      </c>
      <c r="E70" s="9">
        <v>3.235874604877762</v>
      </c>
      <c r="F70" s="9">
        <f t="shared" ref="F70:F75" si="10">C70-D70*E70</f>
        <v>-0.33613109387900608</v>
      </c>
      <c r="G70" s="9">
        <f t="shared" ref="G70:G75" si="11">C70+D70*E70</f>
        <v>0.81613109387900562</v>
      </c>
      <c r="H70" s="42" t="str">
        <f t="shared" si="9"/>
        <v>No rechazar H0</v>
      </c>
    </row>
    <row r="71" spans="1:8" x14ac:dyDescent="0.35">
      <c r="A71" s="54" t="s">
        <v>89</v>
      </c>
      <c r="B71" s="54" t="s">
        <v>88</v>
      </c>
      <c r="C71" s="9">
        <v>-0.38000000000000034</v>
      </c>
      <c r="D71" s="9">
        <v>0.17804493814764794</v>
      </c>
      <c r="E71" s="9">
        <v>3.235874604877762</v>
      </c>
      <c r="F71" s="9">
        <f t="shared" si="10"/>
        <v>-0.95613109387900619</v>
      </c>
      <c r="G71" s="9">
        <f t="shared" si="11"/>
        <v>0.19613109387900551</v>
      </c>
      <c r="H71" s="42" t="str">
        <f t="shared" si="9"/>
        <v>No rechazar H0</v>
      </c>
    </row>
    <row r="72" spans="1:8" x14ac:dyDescent="0.35">
      <c r="A72" s="54" t="s">
        <v>89</v>
      </c>
      <c r="B72" s="54" t="s">
        <v>90</v>
      </c>
      <c r="C72" s="9">
        <v>-2.1800000000000002</v>
      </c>
      <c r="D72" s="9">
        <v>0.17804493814764794</v>
      </c>
      <c r="E72" s="9">
        <v>3.235874604877762</v>
      </c>
      <c r="F72" s="9">
        <f t="shared" si="10"/>
        <v>-2.7561310938790058</v>
      </c>
      <c r="G72" s="9">
        <f t="shared" si="11"/>
        <v>-1.6038689061209943</v>
      </c>
      <c r="H72" s="42" t="str">
        <f t="shared" si="9"/>
        <v>Rechazar H0</v>
      </c>
    </row>
    <row r="73" spans="1:8" x14ac:dyDescent="0.35">
      <c r="A73" s="54" t="s">
        <v>90</v>
      </c>
      <c r="B73" s="54" t="s">
        <v>87</v>
      </c>
      <c r="C73" s="9">
        <v>2.42</v>
      </c>
      <c r="D73" s="9">
        <v>0.17804493814764794</v>
      </c>
      <c r="E73" s="9">
        <v>3.235874604877762</v>
      </c>
      <c r="F73" s="9">
        <f t="shared" si="10"/>
        <v>1.8438689061209941</v>
      </c>
      <c r="G73" s="9">
        <f t="shared" si="11"/>
        <v>2.996131093879006</v>
      </c>
      <c r="H73" s="42" t="str">
        <f t="shared" si="9"/>
        <v>Rechazar H0</v>
      </c>
    </row>
    <row r="74" spans="1:8" x14ac:dyDescent="0.35">
      <c r="A74" s="54" t="s">
        <v>90</v>
      </c>
      <c r="B74" s="54" t="s">
        <v>88</v>
      </c>
      <c r="C74" s="9">
        <v>1.7999999999999998</v>
      </c>
      <c r="D74" s="9">
        <v>0.17804493814764794</v>
      </c>
      <c r="E74" s="9">
        <v>3.235874604877762</v>
      </c>
      <c r="F74" s="9">
        <f t="shared" si="10"/>
        <v>1.223868906120994</v>
      </c>
      <c r="G74" s="9">
        <f t="shared" si="11"/>
        <v>2.3761310938790059</v>
      </c>
      <c r="H74" s="42" t="str">
        <f t="shared" si="9"/>
        <v>Rechazar H0</v>
      </c>
    </row>
    <row r="75" spans="1:8" x14ac:dyDescent="0.35">
      <c r="A75" s="54" t="s">
        <v>90</v>
      </c>
      <c r="B75" s="54" t="s">
        <v>89</v>
      </c>
      <c r="C75" s="9">
        <v>2.1800000000000002</v>
      </c>
      <c r="D75" s="9">
        <v>0.17804493814764794</v>
      </c>
      <c r="E75" s="9">
        <v>3.235874604877762</v>
      </c>
      <c r="F75" s="9">
        <f t="shared" si="10"/>
        <v>1.6038689061209943</v>
      </c>
      <c r="G75" s="9">
        <f t="shared" si="11"/>
        <v>2.7561310938790058</v>
      </c>
      <c r="H75" s="42" t="str">
        <f t="shared" si="9"/>
        <v>Rechazar H0</v>
      </c>
    </row>
  </sheetData>
  <mergeCells count="1">
    <mergeCell ref="B2:E2"/>
  </mergeCells>
  <conditionalFormatting sqref="B43:B46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8DEF51-ADC4-45EA-A7B5-BB03663E0787}">
  <dimension ref="A9:O95"/>
  <sheetViews>
    <sheetView tabSelected="1" topLeftCell="A48" zoomScale="85" zoomScaleNormal="85" workbookViewId="0">
      <selection activeCell="I100" sqref="I100"/>
    </sheetView>
  </sheetViews>
  <sheetFormatPr defaultRowHeight="14.5" x14ac:dyDescent="0.35"/>
  <cols>
    <col min="1" max="1" width="17.1796875" bestFit="1" customWidth="1"/>
    <col min="2" max="2" width="17.36328125" bestFit="1" customWidth="1"/>
    <col min="3" max="3" width="16.81640625" bestFit="1" customWidth="1"/>
    <col min="4" max="4" width="16.54296875" bestFit="1" customWidth="1"/>
    <col min="5" max="5" width="16.26953125" bestFit="1" customWidth="1"/>
    <col min="6" max="6" width="15.453125" bestFit="1" customWidth="1"/>
    <col min="8" max="8" width="13.6328125" bestFit="1" customWidth="1"/>
    <col min="9" max="9" width="16.1796875" bestFit="1" customWidth="1"/>
    <col min="11" max="11" width="9.90625" bestFit="1" customWidth="1"/>
    <col min="12" max="12" width="17.6328125" bestFit="1" customWidth="1"/>
  </cols>
  <sheetData>
    <row r="9" spans="1:10" x14ac:dyDescent="0.35">
      <c r="G9" s="64" t="s">
        <v>100</v>
      </c>
      <c r="H9" s="64" t="s">
        <v>101</v>
      </c>
      <c r="I9" s="64" t="s">
        <v>102</v>
      </c>
      <c r="J9" s="64" t="s">
        <v>103</v>
      </c>
    </row>
    <row r="10" spans="1:10" ht="28.5" x14ac:dyDescent="0.65">
      <c r="A10" s="79" t="s">
        <v>116</v>
      </c>
      <c r="G10" s="63">
        <v>60.7</v>
      </c>
      <c r="H10" s="63">
        <v>68.599999999999994</v>
      </c>
      <c r="I10" s="63">
        <v>102.5</v>
      </c>
      <c r="J10" s="63">
        <v>87.8</v>
      </c>
    </row>
    <row r="11" spans="1:10" x14ac:dyDescent="0.35">
      <c r="G11" s="63">
        <v>56.8</v>
      </c>
      <c r="H11" s="63">
        <v>67.599999999999994</v>
      </c>
      <c r="I11" s="63">
        <v>101.9</v>
      </c>
      <c r="J11" s="63">
        <v>84.1</v>
      </c>
    </row>
    <row r="12" spans="1:10" x14ac:dyDescent="0.35">
      <c r="G12" s="63">
        <v>64.900000000000006</v>
      </c>
      <c r="H12" s="63">
        <v>73.8</v>
      </c>
      <c r="I12" s="63">
        <v>100</v>
      </c>
      <c r="J12" s="63">
        <v>82.9</v>
      </c>
    </row>
    <row r="13" spans="1:10" x14ac:dyDescent="0.35">
      <c r="G13" s="63">
        <v>58.5</v>
      </c>
      <c r="H13" s="63">
        <v>66.099999999999994</v>
      </c>
      <c r="I13" s="63">
        <v>96.3</v>
      </c>
      <c r="J13" s="63">
        <v>85.5</v>
      </c>
    </row>
    <row r="14" spans="1:10" x14ac:dyDescent="0.35">
      <c r="G14" s="63">
        <v>61.6</v>
      </c>
      <c r="H14" s="63">
        <v>69.599999999999994</v>
      </c>
      <c r="I14" s="63"/>
      <c r="J14" s="63">
        <v>90.1</v>
      </c>
    </row>
    <row r="16" spans="1:10" x14ac:dyDescent="0.35">
      <c r="F16" s="12" t="s">
        <v>104</v>
      </c>
      <c r="G16" s="86">
        <v>5</v>
      </c>
      <c r="H16" s="87">
        <v>5</v>
      </c>
      <c r="I16" s="87">
        <v>4</v>
      </c>
      <c r="J16" s="88">
        <v>5</v>
      </c>
    </row>
    <row r="17" spans="6:15" x14ac:dyDescent="0.35">
      <c r="F17" s="12" t="s">
        <v>105</v>
      </c>
      <c r="G17" s="81">
        <f>AVERAGE(G10:G14)</f>
        <v>60.5</v>
      </c>
      <c r="H17" s="82">
        <f t="shared" ref="H17:J17" si="0">AVERAGE(H10:H14)</f>
        <v>69.140000000000015</v>
      </c>
      <c r="I17" s="83">
        <f t="shared" si="0"/>
        <v>100.175</v>
      </c>
      <c r="J17" s="84">
        <f t="shared" si="0"/>
        <v>86.08</v>
      </c>
    </row>
    <row r="18" spans="6:15" x14ac:dyDescent="0.35">
      <c r="F18" s="12" t="s">
        <v>106</v>
      </c>
      <c r="G18" s="68">
        <f>_xlfn.STDEV.S(G10:G14)</f>
        <v>3.0943496893531632</v>
      </c>
      <c r="H18" s="69">
        <f t="shared" ref="H18:J18" si="1">_xlfn.STDEV.S(H10:H14)</f>
        <v>2.9082640870457426</v>
      </c>
      <c r="I18" s="69">
        <f t="shared" si="1"/>
        <v>2.7944886234634558</v>
      </c>
      <c r="J18" s="70">
        <f t="shared" si="1"/>
        <v>2.8934408582170783</v>
      </c>
      <c r="L18" s="2"/>
    </row>
    <row r="19" spans="6:15" x14ac:dyDescent="0.35">
      <c r="F19" s="42"/>
      <c r="G19" s="2"/>
      <c r="H19" s="2"/>
      <c r="I19" s="2"/>
      <c r="J19" s="2"/>
    </row>
    <row r="20" spans="6:15" x14ac:dyDescent="0.35">
      <c r="F20" s="12" t="s">
        <v>107</v>
      </c>
      <c r="G20" s="34">
        <f>AVERAGE(G10:J14)</f>
        <v>77.857894736842084</v>
      </c>
      <c r="H20" s="2"/>
      <c r="I20" s="2"/>
      <c r="J20" s="2"/>
    </row>
    <row r="22" spans="6:15" x14ac:dyDescent="0.35">
      <c r="F22" s="12" t="s">
        <v>108</v>
      </c>
      <c r="G22" s="71">
        <f>POWER(G17-$G$20,2)</f>
        <v>301.29650969529013</v>
      </c>
      <c r="H22" s="72">
        <f t="shared" ref="H22:J22" si="2">POWER(H17-$G$20,2)</f>
        <v>76.00168864265865</v>
      </c>
      <c r="I22" s="72">
        <f t="shared" si="2"/>
        <v>498.05318732687061</v>
      </c>
      <c r="J22" s="73">
        <f t="shared" si="2"/>
        <v>67.603014958449066</v>
      </c>
    </row>
    <row r="23" spans="6:15" x14ac:dyDescent="0.35">
      <c r="F23" s="42"/>
      <c r="G23" s="68">
        <f>G22*G16</f>
        <v>1506.4825484764506</v>
      </c>
      <c r="H23" s="69">
        <f t="shared" ref="H23:J23" si="3">H22*H16</f>
        <v>380.00844321329328</v>
      </c>
      <c r="I23" s="69">
        <f t="shared" si="3"/>
        <v>1992.2127493074825</v>
      </c>
      <c r="J23" s="70">
        <f t="shared" si="3"/>
        <v>338.01507479224534</v>
      </c>
      <c r="L23" s="92">
        <f>SUM(G23:J23)</f>
        <v>4216.7188157894716</v>
      </c>
    </row>
    <row r="24" spans="6:15" x14ac:dyDescent="0.35">
      <c r="F24" s="42"/>
    </row>
    <row r="25" spans="6:15" x14ac:dyDescent="0.35">
      <c r="F25" s="12" t="s">
        <v>109</v>
      </c>
      <c r="G25" s="64" t="s">
        <v>100</v>
      </c>
      <c r="H25" s="64" t="s">
        <v>101</v>
      </c>
      <c r="I25" s="64" t="s">
        <v>102</v>
      </c>
      <c r="J25" s="64" t="s">
        <v>103</v>
      </c>
    </row>
    <row r="26" spans="6:15" x14ac:dyDescent="0.35">
      <c r="G26" s="71">
        <f>POWER(G10-G$17,2)</f>
        <v>4.0000000000001139E-2</v>
      </c>
      <c r="H26" s="72">
        <f t="shared" ref="H26:J26" si="4">POWER(H10-H$17,2)</f>
        <v>0.29160000000002212</v>
      </c>
      <c r="I26" s="72">
        <f t="shared" si="4"/>
        <v>5.405625000000013</v>
      </c>
      <c r="J26" s="73">
        <f t="shared" si="4"/>
        <v>2.9583999999999961</v>
      </c>
    </row>
    <row r="27" spans="6:15" x14ac:dyDescent="0.35">
      <c r="G27" s="76">
        <f t="shared" ref="G27:J27" si="5">POWER(G11-G$17,2)</f>
        <v>13.690000000000021</v>
      </c>
      <c r="H27" s="77">
        <f t="shared" si="5"/>
        <v>2.371600000000063</v>
      </c>
      <c r="I27" s="77">
        <f t="shared" si="5"/>
        <v>2.9756250000000293</v>
      </c>
      <c r="J27" s="78">
        <f t="shared" si="5"/>
        <v>3.9204000000000159</v>
      </c>
    </row>
    <row r="28" spans="6:15" x14ac:dyDescent="0.35">
      <c r="G28" s="76">
        <f t="shared" ref="G28:J28" si="6">POWER(G12-G$17,2)</f>
        <v>19.360000000000049</v>
      </c>
      <c r="H28" s="77">
        <f t="shared" si="6"/>
        <v>21.715599999999835</v>
      </c>
      <c r="I28" s="77">
        <f t="shared" si="6"/>
        <v>3.0624999999999004E-2</v>
      </c>
      <c r="J28" s="78">
        <f t="shared" si="6"/>
        <v>10.112399999999953</v>
      </c>
    </row>
    <row r="29" spans="6:15" x14ac:dyDescent="0.35">
      <c r="G29" s="76">
        <f t="shared" ref="G29:J29" si="7">POWER(G13-G$17,2)</f>
        <v>4</v>
      </c>
      <c r="H29" s="77">
        <f t="shared" si="7"/>
        <v>9.2416000000001244</v>
      </c>
      <c r="I29" s="77">
        <f t="shared" si="7"/>
        <v>15.015625</v>
      </c>
      <c r="J29" s="78">
        <f t="shared" si="7"/>
        <v>0.33639999999999803</v>
      </c>
    </row>
    <row r="30" spans="6:15" x14ac:dyDescent="0.35">
      <c r="G30" s="68">
        <f t="shared" ref="G30:J30" si="8">POWER(G14-G$17,2)</f>
        <v>1.2100000000000031</v>
      </c>
      <c r="H30" s="69">
        <f t="shared" si="8"/>
        <v>0.21159999999998116</v>
      </c>
      <c r="I30" s="69"/>
      <c r="J30" s="70">
        <f t="shared" si="8"/>
        <v>16.160399999999967</v>
      </c>
      <c r="L30" s="93">
        <f>SUM(G26:J30)</f>
        <v>129.04750000000007</v>
      </c>
      <c r="O30" t="s">
        <v>129</v>
      </c>
    </row>
    <row r="32" spans="6:15" x14ac:dyDescent="0.35">
      <c r="F32" s="12" t="s">
        <v>8</v>
      </c>
      <c r="G32" s="64" t="s">
        <v>100</v>
      </c>
      <c r="H32" s="64" t="s">
        <v>101</v>
      </c>
      <c r="I32" s="64" t="s">
        <v>102</v>
      </c>
      <c r="J32" s="64" t="s">
        <v>103</v>
      </c>
    </row>
    <row r="33" spans="1:12" x14ac:dyDescent="0.35">
      <c r="G33" s="71">
        <f>POWER(G10-$G$20,2)</f>
        <v>294.39335180055321</v>
      </c>
      <c r="H33" s="72">
        <f t="shared" ref="H33:J33" si="9">POWER(H10-$G$20,2)</f>
        <v>85.708614958448464</v>
      </c>
      <c r="I33" s="72">
        <f t="shared" si="9"/>
        <v>607.23335180055506</v>
      </c>
      <c r="J33" s="73">
        <f t="shared" si="9"/>
        <v>98.845457063712274</v>
      </c>
    </row>
    <row r="34" spans="1:12" x14ac:dyDescent="0.35">
      <c r="G34" s="76">
        <f t="shared" ref="G34:J36" si="10">POWER(G11-$G$20,2)</f>
        <v>443.43493074792167</v>
      </c>
      <c r="H34" s="77">
        <f t="shared" si="10"/>
        <v>105.22440443213264</v>
      </c>
      <c r="I34" s="77">
        <f t="shared" si="10"/>
        <v>578.0228254847658</v>
      </c>
      <c r="J34" s="78">
        <f t="shared" si="10"/>
        <v>38.963878116343686</v>
      </c>
    </row>
    <row r="35" spans="1:12" x14ac:dyDescent="0.35">
      <c r="G35" s="76">
        <f t="shared" si="10"/>
        <v>167.90703601107964</v>
      </c>
      <c r="H35" s="77">
        <f t="shared" si="10"/>
        <v>16.466509695290711</v>
      </c>
      <c r="I35" s="77">
        <f t="shared" si="10"/>
        <v>490.27282548476546</v>
      </c>
      <c r="J35" s="78">
        <f t="shared" si="10"/>
        <v>25.422825484764815</v>
      </c>
    </row>
    <row r="36" spans="1:12" x14ac:dyDescent="0.35">
      <c r="G36" s="76">
        <f t="shared" si="10"/>
        <v>374.72808864265846</v>
      </c>
      <c r="H36" s="77">
        <f t="shared" si="10"/>
        <v>138.24808864265893</v>
      </c>
      <c r="I36" s="77">
        <f t="shared" si="10"/>
        <v>340.11124653739682</v>
      </c>
      <c r="J36" s="78">
        <f t="shared" si="10"/>
        <v>58.401772853185918</v>
      </c>
    </row>
    <row r="37" spans="1:12" x14ac:dyDescent="0.35">
      <c r="G37" s="68">
        <f>POWER(G14-$G$20,2)</f>
        <v>264.3191412742375</v>
      </c>
      <c r="H37" s="69">
        <f t="shared" ref="H37:J37" si="11">POWER(H14-$G$20,2)</f>
        <v>68.192825484764285</v>
      </c>
      <c r="I37" s="69"/>
      <c r="J37" s="70">
        <f t="shared" si="11"/>
        <v>149.86914127423861</v>
      </c>
      <c r="L37" s="95">
        <f>SUM(G33:J37)</f>
        <v>4345.7663157894731</v>
      </c>
    </row>
    <row r="41" spans="1:12" x14ac:dyDescent="0.35">
      <c r="A41" s="153" t="s">
        <v>31</v>
      </c>
      <c r="B41" s="153"/>
      <c r="C41" s="153"/>
      <c r="D41" s="153"/>
      <c r="E41" s="153"/>
      <c r="F41" s="153"/>
    </row>
    <row r="42" spans="1:12" x14ac:dyDescent="0.35">
      <c r="A42" s="65" t="s">
        <v>9</v>
      </c>
      <c r="B42" s="65" t="s">
        <v>45</v>
      </c>
      <c r="C42" s="65" t="s">
        <v>11</v>
      </c>
      <c r="D42" s="65" t="s">
        <v>12</v>
      </c>
      <c r="E42" s="65" t="s">
        <v>13</v>
      </c>
      <c r="F42" s="65" t="s">
        <v>111</v>
      </c>
      <c r="G42" s="65" t="s">
        <v>130</v>
      </c>
    </row>
    <row r="43" spans="1:12" x14ac:dyDescent="0.35">
      <c r="A43" s="65" t="s">
        <v>108</v>
      </c>
      <c r="B43" s="66">
        <f>L23</f>
        <v>4216.7188157894716</v>
      </c>
      <c r="C43" s="67">
        <f>COUNTA(G9:J9)-1</f>
        <v>3</v>
      </c>
      <c r="D43" s="66">
        <f>B43/C43</f>
        <v>1405.5729385964905</v>
      </c>
      <c r="E43" s="66">
        <f>D43/D44</f>
        <v>163.37855502003018</v>
      </c>
      <c r="F43" s="67">
        <f>_xlfn.F.DIST.RT(E43,C43,C44)</f>
        <v>1.122379461481194E-11</v>
      </c>
      <c r="G43" s="67">
        <f>_xlfn.F.INV.RT(0.05,C43,C44)</f>
        <v>3.2873821046365093</v>
      </c>
      <c r="H43" t="s">
        <v>50</v>
      </c>
    </row>
    <row r="44" spans="1:12" x14ac:dyDescent="0.35">
      <c r="A44" s="65" t="s">
        <v>110</v>
      </c>
      <c r="B44" s="67">
        <f>L30</f>
        <v>129.04750000000007</v>
      </c>
      <c r="C44" s="67">
        <f>COUNTA(G10:J14)-COUNTA(G9:J9)</f>
        <v>15</v>
      </c>
      <c r="D44" s="97">
        <f>B44/C44</f>
        <v>8.603166666666672</v>
      </c>
      <c r="E44" s="67"/>
      <c r="F44" s="67"/>
      <c r="G44" s="67"/>
    </row>
    <row r="45" spans="1:12" x14ac:dyDescent="0.35">
      <c r="A45" s="65" t="s">
        <v>8</v>
      </c>
      <c r="B45" s="66">
        <f>B43+B44</f>
        <v>4345.7663157894713</v>
      </c>
      <c r="C45" s="67">
        <f>SUM(C43:C44)</f>
        <v>18</v>
      </c>
      <c r="D45" s="67"/>
      <c r="E45" s="67"/>
      <c r="F45" s="67"/>
      <c r="G45" s="67"/>
    </row>
    <row r="49" spans="1:7" ht="21" x14ac:dyDescent="0.5">
      <c r="A49" s="154" t="s">
        <v>112</v>
      </c>
      <c r="B49" s="154"/>
      <c r="C49" s="154"/>
      <c r="D49" s="154"/>
      <c r="E49" s="154"/>
      <c r="F49" s="154"/>
      <c r="G49" s="154"/>
    </row>
    <row r="51" spans="1:7" ht="15" thickBot="1" x14ac:dyDescent="0.4">
      <c r="A51" t="s">
        <v>18</v>
      </c>
    </row>
    <row r="52" spans="1:7" x14ac:dyDescent="0.35">
      <c r="A52" s="5" t="s">
        <v>113</v>
      </c>
      <c r="B52" s="5" t="s">
        <v>19</v>
      </c>
      <c r="C52" s="5" t="s">
        <v>20</v>
      </c>
      <c r="D52" s="5" t="s">
        <v>21</v>
      </c>
      <c r="E52" s="5" t="s">
        <v>22</v>
      </c>
    </row>
    <row r="53" spans="1:7" x14ac:dyDescent="0.35">
      <c r="A53" s="54" t="s">
        <v>100</v>
      </c>
      <c r="B53" s="89">
        <v>5</v>
      </c>
      <c r="C53" s="54">
        <v>302.5</v>
      </c>
      <c r="D53" s="82">
        <v>60.5</v>
      </c>
      <c r="E53" s="74">
        <v>9.5750000000000188</v>
      </c>
    </row>
    <row r="54" spans="1:7" x14ac:dyDescent="0.35">
      <c r="A54" s="54" t="s">
        <v>101</v>
      </c>
      <c r="B54" s="89">
        <v>5</v>
      </c>
      <c r="C54" s="54">
        <v>345.70000000000005</v>
      </c>
      <c r="D54" s="82">
        <v>69.140000000000015</v>
      </c>
      <c r="E54" s="74">
        <v>8.4580000000000073</v>
      </c>
    </row>
    <row r="55" spans="1:7" x14ac:dyDescent="0.35">
      <c r="A55" s="54" t="s">
        <v>102</v>
      </c>
      <c r="B55" s="89">
        <v>4</v>
      </c>
      <c r="C55" s="54">
        <v>400.7</v>
      </c>
      <c r="D55" s="83">
        <v>100.175</v>
      </c>
      <c r="E55" s="74">
        <v>7.8091666666666804</v>
      </c>
    </row>
    <row r="56" spans="1:7" ht="15" thickBot="1" x14ac:dyDescent="0.4">
      <c r="A56" s="55" t="s">
        <v>103</v>
      </c>
      <c r="B56" s="90">
        <v>5</v>
      </c>
      <c r="C56" s="55">
        <v>430.4</v>
      </c>
      <c r="D56" s="85">
        <v>86.08</v>
      </c>
      <c r="E56" s="75">
        <v>8.3719999999999821</v>
      </c>
    </row>
    <row r="59" spans="1:7" ht="15" thickBot="1" x14ac:dyDescent="0.4">
      <c r="A59" t="s">
        <v>31</v>
      </c>
    </row>
    <row r="60" spans="1:7" x14ac:dyDescent="0.35">
      <c r="A60" s="5" t="s">
        <v>32</v>
      </c>
      <c r="B60" s="5" t="s">
        <v>33</v>
      </c>
      <c r="C60" s="5" t="s">
        <v>34</v>
      </c>
      <c r="D60" s="5" t="s">
        <v>35</v>
      </c>
      <c r="E60" s="5" t="s">
        <v>13</v>
      </c>
      <c r="F60" s="5" t="s">
        <v>36</v>
      </c>
      <c r="G60" s="5" t="s">
        <v>37</v>
      </c>
    </row>
    <row r="61" spans="1:7" x14ac:dyDescent="0.35">
      <c r="A61" s="3" t="s">
        <v>114</v>
      </c>
      <c r="B61" s="91">
        <v>4216.7188157894734</v>
      </c>
      <c r="C61" s="54">
        <v>3</v>
      </c>
      <c r="D61" s="74">
        <v>1405.5729385964912</v>
      </c>
      <c r="E61" s="74">
        <v>163.37855502003026</v>
      </c>
      <c r="F61" s="54">
        <v>1.1223794614811898E-11</v>
      </c>
      <c r="G61" s="54">
        <v>3.2873821046365093</v>
      </c>
    </row>
    <row r="62" spans="1:7" x14ac:dyDescent="0.35">
      <c r="A62" s="3" t="s">
        <v>115</v>
      </c>
      <c r="B62" s="94">
        <v>129.04750000000007</v>
      </c>
      <c r="C62" s="54">
        <v>15</v>
      </c>
      <c r="D62" s="98">
        <v>8.603166666666672</v>
      </c>
      <c r="E62" s="54"/>
      <c r="F62" s="54"/>
      <c r="G62" s="54"/>
    </row>
    <row r="63" spans="1:7" x14ac:dyDescent="0.35">
      <c r="A63" s="3"/>
      <c r="B63" s="54"/>
      <c r="C63" s="54"/>
      <c r="D63" s="54"/>
      <c r="E63" s="54"/>
      <c r="F63" s="54"/>
      <c r="G63" s="54"/>
    </row>
    <row r="64" spans="1:7" ht="15" thickBot="1" x14ac:dyDescent="0.4">
      <c r="A64" s="4" t="s">
        <v>8</v>
      </c>
      <c r="B64" s="96">
        <v>4345.7663157894731</v>
      </c>
      <c r="C64" s="55">
        <v>18</v>
      </c>
      <c r="D64" s="55"/>
      <c r="E64" s="55"/>
      <c r="F64" s="55"/>
      <c r="G64" s="55"/>
    </row>
    <row r="70" spans="1:11" ht="21" x14ac:dyDescent="0.5">
      <c r="A70" s="104" t="s">
        <v>131</v>
      </c>
    </row>
    <row r="72" spans="1:11" x14ac:dyDescent="0.35">
      <c r="B72" s="64" t="s">
        <v>100</v>
      </c>
      <c r="C72" s="42">
        <v>60.5</v>
      </c>
      <c r="E72" s="64" t="s">
        <v>51</v>
      </c>
      <c r="F72" s="2">
        <f>D44</f>
        <v>8.603166666666672</v>
      </c>
    </row>
    <row r="73" spans="1:11" x14ac:dyDescent="0.35">
      <c r="B73" s="64" t="s">
        <v>101</v>
      </c>
      <c r="C73" s="42">
        <v>69.140000000000015</v>
      </c>
      <c r="E73" s="64" t="s">
        <v>127</v>
      </c>
      <c r="F73">
        <v>4</v>
      </c>
    </row>
    <row r="74" spans="1:11" x14ac:dyDescent="0.35">
      <c r="B74" s="64" t="s">
        <v>102</v>
      </c>
      <c r="C74" s="42">
        <v>100.175</v>
      </c>
      <c r="E74" s="64" t="s">
        <v>126</v>
      </c>
      <c r="F74">
        <v>19</v>
      </c>
      <c r="H74" s="64" t="s">
        <v>139</v>
      </c>
      <c r="I74">
        <v>0.05</v>
      </c>
    </row>
    <row r="75" spans="1:11" x14ac:dyDescent="0.35">
      <c r="B75" s="64" t="s">
        <v>103</v>
      </c>
      <c r="C75" s="42">
        <v>86.08</v>
      </c>
    </row>
    <row r="76" spans="1:11" x14ac:dyDescent="0.35">
      <c r="J76" s="105"/>
    </row>
    <row r="77" spans="1:11" x14ac:dyDescent="0.35">
      <c r="A77" s="64" t="s">
        <v>132</v>
      </c>
      <c r="B77" s="64" t="s">
        <v>133</v>
      </c>
      <c r="C77" s="64" t="s">
        <v>58</v>
      </c>
      <c r="D77" s="64" t="s">
        <v>59</v>
      </c>
      <c r="E77" s="64" t="s">
        <v>60</v>
      </c>
      <c r="F77" s="64" t="s">
        <v>134</v>
      </c>
      <c r="G77" s="64" t="s">
        <v>135</v>
      </c>
      <c r="H77" s="64" t="s">
        <v>63</v>
      </c>
      <c r="I77" s="64" t="s">
        <v>136</v>
      </c>
      <c r="J77" s="64" t="s">
        <v>137</v>
      </c>
      <c r="K77" s="64" t="s">
        <v>138</v>
      </c>
    </row>
    <row r="78" spans="1:11" x14ac:dyDescent="0.35">
      <c r="A78" s="42" t="s">
        <v>100</v>
      </c>
      <c r="B78" s="42" t="s">
        <v>101</v>
      </c>
      <c r="C78">
        <f>VLOOKUP(A78,$B$72:$C$75,2,)</f>
        <v>60.5</v>
      </c>
      <c r="D78">
        <f t="shared" ref="D78:D83" si="12">VLOOKUP(B78,$B$72:$C$75,2,)</f>
        <v>69.140000000000015</v>
      </c>
      <c r="E78">
        <f>C78-D78</f>
        <v>-8.6400000000000148</v>
      </c>
      <c r="F78">
        <v>5</v>
      </c>
      <c r="G78">
        <v>5</v>
      </c>
      <c r="H78" s="9">
        <f>SQRT($F$72*(1/F78+1/G78))</f>
        <v>1.8550651381195942</v>
      </c>
      <c r="I78" s="9">
        <f>E78/H78</f>
        <v>-4.6575183924581962</v>
      </c>
      <c r="J78" s="103">
        <f>SQRT(($F$73-1)*_xlfn.F.INV.RT($I$74,$F$73-1,$F$74-$F$73))</f>
        <v>3.1404054378232003</v>
      </c>
      <c r="K78" s="42" t="str">
        <f>IF(ABS(I78)&gt;J78,"Rechazar H0","No rechazar H0")</f>
        <v>Rechazar H0</v>
      </c>
    </row>
    <row r="79" spans="1:11" x14ac:dyDescent="0.35">
      <c r="A79" s="42" t="s">
        <v>100</v>
      </c>
      <c r="B79" s="42" t="s">
        <v>102</v>
      </c>
      <c r="C79">
        <f t="shared" ref="C79:C83" si="13">VLOOKUP(A79,$B$72:$C$75,2,)</f>
        <v>60.5</v>
      </c>
      <c r="D79">
        <f t="shared" si="12"/>
        <v>100.175</v>
      </c>
      <c r="E79">
        <f t="shared" ref="E79:E83" si="14">C79-D79</f>
        <v>-39.674999999999997</v>
      </c>
      <c r="F79">
        <v>5</v>
      </c>
      <c r="G79">
        <v>4</v>
      </c>
      <c r="H79" s="9">
        <f t="shared" ref="H79:H83" si="15">SQRT($F$72*(1/F79+1/G79))</f>
        <v>1.9675937080606867</v>
      </c>
      <c r="I79" s="9">
        <f t="shared" ref="I79:I83" si="16">E79/H79</f>
        <v>-20.164223862610715</v>
      </c>
      <c r="J79" s="103">
        <f t="shared" ref="J79:J83" si="17">SQRT(($F$73-1)*_xlfn.F.INV.RT($I$74,$F$73-1,$F$74-$F$73))</f>
        <v>3.1404054378232003</v>
      </c>
      <c r="K79" s="42" t="str">
        <f t="shared" ref="K79:K83" si="18">IF(ABS(I79)&gt;J79,"Rechazar H0","No rechazar H0")</f>
        <v>Rechazar H0</v>
      </c>
    </row>
    <row r="80" spans="1:11" x14ac:dyDescent="0.35">
      <c r="A80" s="42" t="s">
        <v>100</v>
      </c>
      <c r="B80" s="42" t="s">
        <v>103</v>
      </c>
      <c r="C80">
        <f t="shared" si="13"/>
        <v>60.5</v>
      </c>
      <c r="D80">
        <f t="shared" si="12"/>
        <v>86.08</v>
      </c>
      <c r="E80">
        <f t="shared" si="14"/>
        <v>-25.58</v>
      </c>
      <c r="F80">
        <v>5</v>
      </c>
      <c r="G80">
        <v>5</v>
      </c>
      <c r="H80" s="9">
        <f t="shared" si="15"/>
        <v>1.8550651381195942</v>
      </c>
      <c r="I80" s="9">
        <f t="shared" si="16"/>
        <v>-13.789273203597276</v>
      </c>
      <c r="J80" s="103">
        <f t="shared" si="17"/>
        <v>3.1404054378232003</v>
      </c>
      <c r="K80" s="42" t="str">
        <f t="shared" si="18"/>
        <v>Rechazar H0</v>
      </c>
    </row>
    <row r="81" spans="1:11" x14ac:dyDescent="0.35">
      <c r="A81" s="42" t="s">
        <v>101</v>
      </c>
      <c r="B81" s="42" t="s">
        <v>102</v>
      </c>
      <c r="C81">
        <f t="shared" si="13"/>
        <v>69.140000000000015</v>
      </c>
      <c r="D81">
        <f t="shared" si="12"/>
        <v>100.175</v>
      </c>
      <c r="E81">
        <f t="shared" si="14"/>
        <v>-31.034999999999982</v>
      </c>
      <c r="F81">
        <v>5</v>
      </c>
      <c r="G81">
        <v>4</v>
      </c>
      <c r="H81" s="9">
        <f t="shared" si="15"/>
        <v>1.9675937080606867</v>
      </c>
      <c r="I81" s="9">
        <f t="shared" si="16"/>
        <v>-15.773073410866369</v>
      </c>
      <c r="J81" s="103">
        <f t="shared" si="17"/>
        <v>3.1404054378232003</v>
      </c>
      <c r="K81" s="42" t="str">
        <f t="shared" si="18"/>
        <v>Rechazar H0</v>
      </c>
    </row>
    <row r="82" spans="1:11" x14ac:dyDescent="0.35">
      <c r="A82" s="42" t="s">
        <v>101</v>
      </c>
      <c r="B82" s="42" t="s">
        <v>103</v>
      </c>
      <c r="C82">
        <f t="shared" si="13"/>
        <v>69.140000000000015</v>
      </c>
      <c r="D82">
        <f t="shared" si="12"/>
        <v>86.08</v>
      </c>
      <c r="E82">
        <f t="shared" si="14"/>
        <v>-16.939999999999984</v>
      </c>
      <c r="F82">
        <v>5</v>
      </c>
      <c r="G82">
        <v>5</v>
      </c>
      <c r="H82" s="9">
        <f t="shared" si="15"/>
        <v>1.8550651381195942</v>
      </c>
      <c r="I82" s="9">
        <f t="shared" si="16"/>
        <v>-9.1317548111390785</v>
      </c>
      <c r="J82" s="103">
        <f t="shared" si="17"/>
        <v>3.1404054378232003</v>
      </c>
      <c r="K82" s="42" t="str">
        <f t="shared" si="18"/>
        <v>Rechazar H0</v>
      </c>
    </row>
    <row r="83" spans="1:11" x14ac:dyDescent="0.35">
      <c r="A83" s="42" t="s">
        <v>102</v>
      </c>
      <c r="B83" s="42" t="s">
        <v>103</v>
      </c>
      <c r="C83">
        <f t="shared" si="13"/>
        <v>100.175</v>
      </c>
      <c r="D83">
        <f t="shared" si="12"/>
        <v>86.08</v>
      </c>
      <c r="E83">
        <f t="shared" si="14"/>
        <v>14.094999999999999</v>
      </c>
      <c r="F83">
        <v>4</v>
      </c>
      <c r="G83">
        <v>5</v>
      </c>
      <c r="H83" s="9">
        <f t="shared" si="15"/>
        <v>1.9675937080606867</v>
      </c>
      <c r="I83" s="9">
        <f t="shared" si="16"/>
        <v>7.1635724094139386</v>
      </c>
      <c r="J83" s="103">
        <f t="shared" si="17"/>
        <v>3.1404054378232003</v>
      </c>
      <c r="K83" s="42" t="str">
        <f t="shared" si="18"/>
        <v>Rechazar H0</v>
      </c>
    </row>
    <row r="89" spans="1:11" x14ac:dyDescent="0.35">
      <c r="A89" s="64" t="s">
        <v>132</v>
      </c>
      <c r="B89" s="64" t="s">
        <v>133</v>
      </c>
      <c r="C89" s="64" t="s">
        <v>60</v>
      </c>
      <c r="D89" s="64" t="s">
        <v>63</v>
      </c>
      <c r="E89" s="64" t="s">
        <v>137</v>
      </c>
      <c r="F89" s="10" t="s">
        <v>74</v>
      </c>
      <c r="G89" s="10" t="s">
        <v>75</v>
      </c>
    </row>
    <row r="90" spans="1:11" x14ac:dyDescent="0.35">
      <c r="A90" s="42" t="s">
        <v>100</v>
      </c>
      <c r="B90" s="42" t="s">
        <v>101</v>
      </c>
      <c r="C90" s="42">
        <v>-8.6400000000000148</v>
      </c>
      <c r="D90" s="42">
        <v>1.8550651381195942</v>
      </c>
      <c r="E90">
        <v>3.1404054378232003</v>
      </c>
      <c r="F90" s="9">
        <f>C90-D90*E90</f>
        <v>-14.465656647267036</v>
      </c>
      <c r="G90" s="9">
        <f>C90+D90*E90</f>
        <v>-2.8143433527329949</v>
      </c>
      <c r="H90" s="42" t="str">
        <f>IF(F90*G90&gt;0,"Rechazar H0","No rechazar H0")</f>
        <v>Rechazar H0</v>
      </c>
    </row>
    <row r="91" spans="1:11" x14ac:dyDescent="0.35">
      <c r="A91" s="42" t="s">
        <v>100</v>
      </c>
      <c r="B91" s="42" t="s">
        <v>102</v>
      </c>
      <c r="C91" s="42">
        <v>-39.674999999999997</v>
      </c>
      <c r="D91" s="42">
        <v>1.9675937080606867</v>
      </c>
      <c r="E91">
        <v>3.1404054378232003</v>
      </c>
      <c r="F91" s="9">
        <f>C91-D91*E91</f>
        <v>-45.854041980220494</v>
      </c>
      <c r="G91" s="9">
        <f>C91+D91*E91</f>
        <v>-33.495958019779501</v>
      </c>
      <c r="H91" s="42" t="str">
        <f>IF(F91*G91&gt;0,"Rechazar H0","No rechazar H0")</f>
        <v>Rechazar H0</v>
      </c>
    </row>
    <row r="92" spans="1:11" x14ac:dyDescent="0.35">
      <c r="A92" s="42" t="s">
        <v>100</v>
      </c>
      <c r="B92" s="42" t="s">
        <v>103</v>
      </c>
      <c r="C92" s="42">
        <v>-25.58</v>
      </c>
      <c r="D92" s="42">
        <v>1.8550651381195942</v>
      </c>
      <c r="E92">
        <v>3.1404054378232003</v>
      </c>
      <c r="F92" s="9">
        <f>C92-D92*E92</f>
        <v>-31.405656647267019</v>
      </c>
      <c r="G92" s="9">
        <f>C92+D92*E92</f>
        <v>-19.754343352732977</v>
      </c>
      <c r="H92" s="42" t="str">
        <f>IF(F92*G92&gt;0,"Rechazar H0","No rechazar H0")</f>
        <v>Rechazar H0</v>
      </c>
    </row>
    <row r="93" spans="1:11" x14ac:dyDescent="0.35">
      <c r="A93" s="42" t="s">
        <v>101</v>
      </c>
      <c r="B93" s="42" t="s">
        <v>102</v>
      </c>
      <c r="C93" s="42">
        <v>-31.034999999999982</v>
      </c>
      <c r="D93" s="42">
        <v>1.9675937080606867</v>
      </c>
      <c r="E93">
        <v>3.1404054378232003</v>
      </c>
      <c r="F93" s="9">
        <f>C93-D93*E93</f>
        <v>-37.214041980220479</v>
      </c>
      <c r="G93" s="9">
        <f>C93+D93*E93</f>
        <v>-24.855958019779486</v>
      </c>
      <c r="H93" s="42" t="str">
        <f>IF(F93*G93&gt;0,"Rechazar H0","No rechazar H0")</f>
        <v>Rechazar H0</v>
      </c>
    </row>
    <row r="94" spans="1:11" x14ac:dyDescent="0.35">
      <c r="A94" s="42" t="s">
        <v>101</v>
      </c>
      <c r="B94" s="42" t="s">
        <v>103</v>
      </c>
      <c r="C94" s="42">
        <v>-16.939999999999984</v>
      </c>
      <c r="D94" s="42">
        <v>1.8550651381195942</v>
      </c>
      <c r="E94">
        <v>3.1404054378232003</v>
      </c>
      <c r="F94" s="9">
        <f>C94-D94*E94</f>
        <v>-22.765656647267004</v>
      </c>
      <c r="G94" s="9">
        <f>C94+D94*E94</f>
        <v>-11.114343352732963</v>
      </c>
      <c r="H94" s="42" t="str">
        <f>IF(F94*G94&gt;0,"Rechazar H0","No rechazar H0")</f>
        <v>Rechazar H0</v>
      </c>
    </row>
    <row r="95" spans="1:11" x14ac:dyDescent="0.35">
      <c r="A95" s="42" t="s">
        <v>102</v>
      </c>
      <c r="B95" s="42" t="s">
        <v>103</v>
      </c>
      <c r="C95" s="42">
        <v>14.094999999999999</v>
      </c>
      <c r="D95" s="42">
        <v>1.9675937080606867</v>
      </c>
      <c r="E95">
        <v>3.1404054378232003</v>
      </c>
      <c r="F95" s="9">
        <f>C95-D95*E95</f>
        <v>7.9159580197795041</v>
      </c>
      <c r="G95" s="9">
        <f>C95+D95*E95</f>
        <v>20.274041980220495</v>
      </c>
      <c r="H95" s="42" t="str">
        <f>IF(F95*G95&gt;0,"Rechazar H0","No rechazar H0")</f>
        <v>Rechazar H0</v>
      </c>
    </row>
  </sheetData>
  <mergeCells count="2">
    <mergeCell ref="A41:F41"/>
    <mergeCell ref="A49:G49"/>
  </mergeCells>
  <phoneticPr fontId="9" type="noConversion"/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71FAB9-33B5-44E3-8A03-02ECB220E4A8}">
  <dimension ref="A1:H30"/>
  <sheetViews>
    <sheetView workbookViewId="0">
      <selection activeCell="H30" sqref="H30"/>
    </sheetView>
  </sheetViews>
  <sheetFormatPr defaultRowHeight="14.5" x14ac:dyDescent="0.35"/>
  <cols>
    <col min="6" max="6" width="19.6328125" bestFit="1" customWidth="1"/>
    <col min="7" max="7" width="19.81640625" bestFit="1" customWidth="1"/>
    <col min="8" max="8" width="19.54296875" bestFit="1" customWidth="1"/>
  </cols>
  <sheetData>
    <row r="1" spans="1:8" ht="26" x14ac:dyDescent="0.6">
      <c r="A1" s="80" t="s">
        <v>117</v>
      </c>
    </row>
    <row r="5" spans="1:8" x14ac:dyDescent="0.35">
      <c r="A5" s="99" t="s">
        <v>118</v>
      </c>
      <c r="B5" s="99" t="s">
        <v>119</v>
      </c>
      <c r="C5" s="99" t="s">
        <v>120</v>
      </c>
      <c r="D5" s="99" t="s">
        <v>121</v>
      </c>
      <c r="E5" s="99" t="s">
        <v>123</v>
      </c>
      <c r="F5" s="99" t="s">
        <v>104</v>
      </c>
      <c r="G5" s="99" t="s">
        <v>122</v>
      </c>
      <c r="H5" s="99" t="s">
        <v>124</v>
      </c>
    </row>
    <row r="6" spans="1:8" x14ac:dyDescent="0.35">
      <c r="A6" s="64" t="s">
        <v>100</v>
      </c>
      <c r="B6" s="63">
        <v>60.7</v>
      </c>
      <c r="C6" s="63"/>
      <c r="D6" s="63">
        <f>ABS(B6-$C$10)</f>
        <v>0.20000000000000284</v>
      </c>
      <c r="E6" s="63"/>
      <c r="F6" s="63"/>
      <c r="G6" s="63"/>
      <c r="H6" s="34">
        <f>POWER(D6-$E$10,2)</f>
        <v>4.3263999999999987</v>
      </c>
    </row>
    <row r="7" spans="1:8" x14ac:dyDescent="0.35">
      <c r="A7" s="64" t="s">
        <v>100</v>
      </c>
      <c r="B7" s="63">
        <v>56.8</v>
      </c>
      <c r="C7" s="63"/>
      <c r="D7" s="63">
        <f t="shared" ref="D7:D10" si="0">ABS(B7-$C$10)</f>
        <v>3.7000000000000028</v>
      </c>
      <c r="E7" s="63"/>
      <c r="F7" s="63"/>
      <c r="G7" s="63"/>
      <c r="H7" s="34">
        <f t="shared" ref="H7:H10" si="1">POWER(D7-$E$10,2)</f>
        <v>2.0164000000000009</v>
      </c>
    </row>
    <row r="8" spans="1:8" x14ac:dyDescent="0.35">
      <c r="A8" s="64" t="s">
        <v>100</v>
      </c>
      <c r="B8" s="63">
        <v>64.900000000000006</v>
      </c>
      <c r="C8" s="63"/>
      <c r="D8" s="63">
        <f t="shared" si="0"/>
        <v>4.4000000000000057</v>
      </c>
      <c r="E8" s="63"/>
      <c r="F8" s="63"/>
      <c r="G8" s="63"/>
      <c r="H8" s="34">
        <f t="shared" si="1"/>
        <v>4.4944000000000139</v>
      </c>
    </row>
    <row r="9" spans="1:8" x14ac:dyDescent="0.35">
      <c r="A9" s="64" t="s">
        <v>100</v>
      </c>
      <c r="B9" s="63">
        <v>58.5</v>
      </c>
      <c r="C9" s="63"/>
      <c r="D9" s="63">
        <f t="shared" si="0"/>
        <v>2</v>
      </c>
      <c r="E9" s="63"/>
      <c r="F9" s="63"/>
      <c r="G9" s="63"/>
      <c r="H9" s="34">
        <f t="shared" si="1"/>
        <v>7.8400000000001385E-2</v>
      </c>
    </row>
    <row r="10" spans="1:8" x14ac:dyDescent="0.35">
      <c r="A10" s="64" t="s">
        <v>100</v>
      </c>
      <c r="B10" s="63">
        <v>61.6</v>
      </c>
      <c r="C10" s="63">
        <f>AVERAGE(B6:B10)</f>
        <v>60.5</v>
      </c>
      <c r="D10" s="63">
        <f t="shared" si="0"/>
        <v>1.1000000000000014</v>
      </c>
      <c r="E10" s="63">
        <f>AVERAGE(D6:D10)</f>
        <v>2.2800000000000025</v>
      </c>
      <c r="F10" s="63">
        <v>5</v>
      </c>
      <c r="G10" s="34">
        <f>F10*POWER(E10-$D$26,2)</f>
        <v>6.1080332409972918E-2</v>
      </c>
      <c r="H10" s="34">
        <f t="shared" si="1"/>
        <v>1.3924000000000025</v>
      </c>
    </row>
    <row r="11" spans="1:8" x14ac:dyDescent="0.35">
      <c r="A11" s="64" t="s">
        <v>101</v>
      </c>
      <c r="B11" s="63">
        <v>68.599999999999994</v>
      </c>
      <c r="C11" s="63"/>
      <c r="D11" s="63">
        <f>ABS(B11-$C$15)</f>
        <v>0.54000000000002046</v>
      </c>
      <c r="E11" s="63"/>
      <c r="F11" s="63"/>
      <c r="G11" s="34"/>
      <c r="H11" s="34">
        <f>POWER(D11-$E$15,2)</f>
        <v>2.2740639999999517</v>
      </c>
    </row>
    <row r="12" spans="1:8" x14ac:dyDescent="0.35">
      <c r="A12" s="64" t="s">
        <v>101</v>
      </c>
      <c r="B12" s="63">
        <v>67.599999999999994</v>
      </c>
      <c r="C12" s="63"/>
      <c r="D12" s="63">
        <f t="shared" ref="D12:D15" si="2">ABS(B12-$C$15)</f>
        <v>1.5400000000000205</v>
      </c>
      <c r="E12" s="63"/>
      <c r="F12" s="63"/>
      <c r="G12" s="34"/>
      <c r="H12" s="34">
        <f t="shared" ref="H12:H15" si="3">POWER(D12-$E$15,2)</f>
        <v>0.25806399999998375</v>
      </c>
    </row>
    <row r="13" spans="1:8" x14ac:dyDescent="0.35">
      <c r="A13" s="64" t="s">
        <v>101</v>
      </c>
      <c r="B13" s="63">
        <v>73.8</v>
      </c>
      <c r="C13" s="63"/>
      <c r="D13" s="63">
        <f t="shared" si="2"/>
        <v>4.6599999999999824</v>
      </c>
      <c r="E13" s="63"/>
      <c r="F13" s="63"/>
      <c r="G13" s="34"/>
      <c r="H13" s="34">
        <f t="shared" si="3"/>
        <v>6.8225439999998843</v>
      </c>
    </row>
    <row r="14" spans="1:8" x14ac:dyDescent="0.35">
      <c r="A14" s="64" t="s">
        <v>101</v>
      </c>
      <c r="B14" s="63">
        <v>66.099999999999994</v>
      </c>
      <c r="C14" s="63"/>
      <c r="D14" s="63">
        <f t="shared" si="2"/>
        <v>3.0400000000000205</v>
      </c>
      <c r="E14" s="63"/>
      <c r="F14" s="63"/>
      <c r="G14" s="34"/>
      <c r="H14" s="34">
        <f t="shared" si="3"/>
        <v>0.98406400000003169</v>
      </c>
    </row>
    <row r="15" spans="1:8" x14ac:dyDescent="0.35">
      <c r="A15" s="64" t="s">
        <v>101</v>
      </c>
      <c r="B15" s="63">
        <v>69.599999999999994</v>
      </c>
      <c r="C15" s="63">
        <f>AVERAGE(B11:B15)</f>
        <v>69.140000000000015</v>
      </c>
      <c r="D15" s="63">
        <f t="shared" si="2"/>
        <v>0.45999999999997954</v>
      </c>
      <c r="E15" s="63">
        <f>AVERAGE(D11:D15)</f>
        <v>2.0480000000000045</v>
      </c>
      <c r="F15" s="63">
        <v>5</v>
      </c>
      <c r="G15" s="34">
        <f>F15*POWER(E15-$D$26,2)</f>
        <v>7.3779279778390217E-2</v>
      </c>
      <c r="H15" s="34">
        <f t="shared" si="3"/>
        <v>2.521744000000079</v>
      </c>
    </row>
    <row r="16" spans="1:8" x14ac:dyDescent="0.35">
      <c r="A16" s="64" t="s">
        <v>102</v>
      </c>
      <c r="B16" s="63">
        <v>102.5</v>
      </c>
      <c r="C16" s="63"/>
      <c r="D16" s="34">
        <f>ABS(B16-$C$19)</f>
        <v>2.3250000000000028</v>
      </c>
      <c r="E16" s="63"/>
      <c r="F16" s="63"/>
      <c r="G16" s="34"/>
      <c r="H16" s="34">
        <f>POWER(D16-$E$19,2)</f>
        <v>9.0000000000000427E-2</v>
      </c>
    </row>
    <row r="17" spans="1:8" x14ac:dyDescent="0.35">
      <c r="A17" s="64" t="s">
        <v>102</v>
      </c>
      <c r="B17" s="63">
        <v>101.9</v>
      </c>
      <c r="C17" s="63"/>
      <c r="D17" s="34">
        <f t="shared" ref="D17:D19" si="4">ABS(B17-$C$19)</f>
        <v>1.7250000000000085</v>
      </c>
      <c r="E17" s="63"/>
      <c r="F17" s="63"/>
      <c r="G17" s="34"/>
      <c r="H17" s="34">
        <f t="shared" ref="H17:H19" si="5">POWER(D17-$E$19,2)</f>
        <v>8.9999999999996166E-2</v>
      </c>
    </row>
    <row r="18" spans="1:8" x14ac:dyDescent="0.35">
      <c r="A18" s="64" t="s">
        <v>102</v>
      </c>
      <c r="B18" s="63">
        <v>100</v>
      </c>
      <c r="C18" s="63"/>
      <c r="D18" s="34">
        <f t="shared" si="4"/>
        <v>0.17499999999999716</v>
      </c>
      <c r="E18" s="63"/>
      <c r="F18" s="63"/>
      <c r="G18" s="34"/>
      <c r="H18" s="34">
        <f t="shared" si="5"/>
        <v>3.4225000000000185</v>
      </c>
    </row>
    <row r="19" spans="1:8" x14ac:dyDescent="0.35">
      <c r="A19" s="64" t="s">
        <v>102</v>
      </c>
      <c r="B19" s="63">
        <v>96.3</v>
      </c>
      <c r="C19" s="34">
        <f>AVERAGE(B16:B19)</f>
        <v>100.175</v>
      </c>
      <c r="D19" s="34">
        <f t="shared" si="4"/>
        <v>3.875</v>
      </c>
      <c r="E19" s="63">
        <f>AVERAGE(D16:D19)</f>
        <v>2.0250000000000021</v>
      </c>
      <c r="F19" s="63">
        <v>4</v>
      </c>
      <c r="G19" s="34">
        <f>F19*POWER(E19-$D$26,2)</f>
        <v>8.3490581717451259E-2</v>
      </c>
      <c r="H19" s="34">
        <f t="shared" si="5"/>
        <v>3.4224999999999923</v>
      </c>
    </row>
    <row r="20" spans="1:8" x14ac:dyDescent="0.35">
      <c r="A20" s="64" t="s">
        <v>103</v>
      </c>
      <c r="B20" s="63">
        <v>87.8</v>
      </c>
      <c r="C20" s="63"/>
      <c r="D20" s="63">
        <f>ABS(B20-$C$24)</f>
        <v>1.7199999999999989</v>
      </c>
      <c r="E20" s="63"/>
      <c r="F20" s="63"/>
      <c r="G20" s="34"/>
      <c r="H20" s="34">
        <f>POWER(D20-$E$24,2)</f>
        <v>0.33177599999999907</v>
      </c>
    </row>
    <row r="21" spans="1:8" x14ac:dyDescent="0.35">
      <c r="A21" s="64" t="s">
        <v>103</v>
      </c>
      <c r="B21" s="63">
        <v>84.1</v>
      </c>
      <c r="C21" s="63"/>
      <c r="D21" s="63">
        <f t="shared" ref="D21:D24" si="6">ABS(B21-$C$24)</f>
        <v>1.980000000000004</v>
      </c>
      <c r="E21" s="63"/>
      <c r="F21" s="63"/>
      <c r="G21" s="34"/>
      <c r="H21" s="34">
        <f t="shared" ref="H21:H24" si="7">POWER(D21-$E$24,2)</f>
        <v>9.9855999999996253E-2</v>
      </c>
    </row>
    <row r="22" spans="1:8" x14ac:dyDescent="0.35">
      <c r="A22" s="64" t="s">
        <v>103</v>
      </c>
      <c r="B22" s="63">
        <v>82.9</v>
      </c>
      <c r="C22" s="63"/>
      <c r="D22" s="63">
        <f t="shared" si="6"/>
        <v>3.1799999999999926</v>
      </c>
      <c r="E22" s="63"/>
      <c r="F22" s="63"/>
      <c r="G22" s="34"/>
      <c r="H22" s="34">
        <f t="shared" si="7"/>
        <v>0.78145599999999038</v>
      </c>
    </row>
    <row r="23" spans="1:8" x14ac:dyDescent="0.35">
      <c r="A23" s="64" t="s">
        <v>103</v>
      </c>
      <c r="B23" s="63">
        <v>85.5</v>
      </c>
      <c r="C23" s="63"/>
      <c r="D23" s="63">
        <f t="shared" si="6"/>
        <v>0.57999999999999829</v>
      </c>
      <c r="E23" s="63"/>
      <c r="F23" s="63"/>
      <c r="G23" s="34"/>
      <c r="H23" s="34">
        <f t="shared" si="7"/>
        <v>2.9446559999999993</v>
      </c>
    </row>
    <row r="24" spans="1:8" x14ac:dyDescent="0.35">
      <c r="A24" s="64" t="s">
        <v>103</v>
      </c>
      <c r="B24" s="63">
        <v>90.1</v>
      </c>
      <c r="C24" s="63">
        <f>AVERAGE(B20:B24)</f>
        <v>86.08</v>
      </c>
      <c r="D24" s="63">
        <f t="shared" si="6"/>
        <v>4.019999999999996</v>
      </c>
      <c r="E24" s="63">
        <f>AVERAGE(D20:D24)</f>
        <v>2.295999999999998</v>
      </c>
      <c r="F24" s="63">
        <v>5</v>
      </c>
      <c r="G24" s="34">
        <f>F24*POWER(E24-$D$26,2)</f>
        <v>8.0044542936283214E-2</v>
      </c>
      <c r="H24" s="34">
        <f t="shared" si="7"/>
        <v>2.972175999999993</v>
      </c>
    </row>
    <row r="26" spans="1:8" ht="15" thickBot="1" x14ac:dyDescent="0.4">
      <c r="B26" s="100">
        <f>AVERAGE(B6:B24)</f>
        <v>77.857894736842098</v>
      </c>
      <c r="C26" s="9"/>
      <c r="D26" s="100">
        <f>AVERAGE(D6:D24)</f>
        <v>2.1694736842105282</v>
      </c>
      <c r="E26" s="100">
        <f>AVERAGE(E10:E24)</f>
        <v>2.1622500000000016</v>
      </c>
      <c r="F26" s="101">
        <f>SUM(F10:F24)</f>
        <v>19</v>
      </c>
      <c r="G26" s="100">
        <f>SUM(G10:G24)</f>
        <v>0.29839473684209761</v>
      </c>
      <c r="H26" s="100">
        <f>SUM(H6:H24)</f>
        <v>39.323399999999928</v>
      </c>
    </row>
    <row r="28" spans="1:8" x14ac:dyDescent="0.35">
      <c r="C28" s="64" t="s">
        <v>126</v>
      </c>
      <c r="D28" s="42">
        <f>F26</f>
        <v>19</v>
      </c>
      <c r="G28" s="64" t="s">
        <v>125</v>
      </c>
      <c r="H28" s="102">
        <f>((D28-D29)*G26/((D29-1)*H26))</f>
        <v>3.7941116083820087E-2</v>
      </c>
    </row>
    <row r="29" spans="1:8" x14ac:dyDescent="0.35">
      <c r="C29" s="64" t="s">
        <v>127</v>
      </c>
      <c r="D29" s="42">
        <v>4</v>
      </c>
      <c r="G29" s="42"/>
      <c r="H29" s="42"/>
    </row>
    <row r="30" spans="1:8" x14ac:dyDescent="0.35">
      <c r="G30" s="64" t="s">
        <v>128</v>
      </c>
      <c r="H30" s="103">
        <f>_xlfn.F.DIST.RT(H28,D29-1,D28-D29)</f>
        <v>0.98971313891127888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BFF9C4-6438-42A2-A927-B2C6C4A81C37}">
  <dimension ref="A2:M13"/>
  <sheetViews>
    <sheetView workbookViewId="0">
      <selection activeCell="H8" sqref="H8"/>
    </sheetView>
  </sheetViews>
  <sheetFormatPr defaultRowHeight="14.5" x14ac:dyDescent="0.35"/>
  <sheetData>
    <row r="2" spans="1:13" x14ac:dyDescent="0.35">
      <c r="B2" s="64" t="s">
        <v>100</v>
      </c>
      <c r="C2" s="42">
        <v>60.5</v>
      </c>
      <c r="E2" s="64" t="s">
        <v>51</v>
      </c>
      <c r="F2" s="98">
        <v>8.603166666666672</v>
      </c>
    </row>
    <row r="3" spans="1:13" x14ac:dyDescent="0.35">
      <c r="B3" s="64" t="s">
        <v>101</v>
      </c>
      <c r="C3" s="42">
        <v>69.140000000000015</v>
      </c>
      <c r="E3" s="64" t="s">
        <v>127</v>
      </c>
      <c r="F3">
        <v>4</v>
      </c>
    </row>
    <row r="4" spans="1:13" x14ac:dyDescent="0.35">
      <c r="B4" s="64" t="s">
        <v>102</v>
      </c>
      <c r="C4" s="42">
        <v>100.175</v>
      </c>
      <c r="E4" s="64" t="s">
        <v>126</v>
      </c>
      <c r="F4">
        <v>19</v>
      </c>
      <c r="H4" s="64" t="s">
        <v>139</v>
      </c>
      <c r="I4">
        <v>0.05</v>
      </c>
    </row>
    <row r="5" spans="1:13" x14ac:dyDescent="0.35">
      <c r="B5" s="64" t="s">
        <v>103</v>
      </c>
      <c r="C5" s="42">
        <v>86.08</v>
      </c>
      <c r="E5" s="106" t="s">
        <v>143</v>
      </c>
      <c r="F5">
        <v>5</v>
      </c>
      <c r="H5" s="106" t="s">
        <v>140</v>
      </c>
      <c r="I5" t="s">
        <v>141</v>
      </c>
      <c r="M5">
        <v>4.08</v>
      </c>
    </row>
    <row r="6" spans="1:13" x14ac:dyDescent="0.35">
      <c r="J6" s="105"/>
    </row>
    <row r="7" spans="1:13" x14ac:dyDescent="0.35">
      <c r="A7" s="64" t="s">
        <v>132</v>
      </c>
      <c r="B7" s="64" t="s">
        <v>133</v>
      </c>
      <c r="C7" s="64" t="s">
        <v>58</v>
      </c>
      <c r="D7" s="64" t="s">
        <v>59</v>
      </c>
      <c r="E7" s="64" t="s">
        <v>60</v>
      </c>
      <c r="F7" s="64" t="s">
        <v>134</v>
      </c>
      <c r="G7" s="64" t="s">
        <v>135</v>
      </c>
      <c r="H7" s="64" t="s">
        <v>63</v>
      </c>
      <c r="I7" s="107" t="s">
        <v>142</v>
      </c>
    </row>
    <row r="8" spans="1:13" x14ac:dyDescent="0.35">
      <c r="A8" s="42" t="s">
        <v>100</v>
      </c>
      <c r="B8" s="42" t="s">
        <v>101</v>
      </c>
      <c r="C8">
        <f>VLOOKUP(A8,$B$2:$C$5,2,)</f>
        <v>60.5</v>
      </c>
      <c r="D8">
        <f>VLOOKUP(B8,$B$2:$C$5,2,)</f>
        <v>69.140000000000015</v>
      </c>
      <c r="E8">
        <f>C8-D8</f>
        <v>-8.6400000000000148</v>
      </c>
      <c r="F8">
        <v>5</v>
      </c>
      <c r="G8">
        <v>5</v>
      </c>
      <c r="H8" s="9">
        <f>SQRT($F$2*(1/F8+1/G8))</f>
        <v>1.8550651381195942</v>
      </c>
      <c r="I8">
        <f>$M$5*SQRT($F$2/$F$5)</f>
        <v>5.3518548859250679</v>
      </c>
    </row>
    <row r="9" spans="1:13" x14ac:dyDescent="0.35">
      <c r="A9" s="42" t="s">
        <v>100</v>
      </c>
      <c r="B9" s="42" t="s">
        <v>102</v>
      </c>
      <c r="C9">
        <f t="shared" ref="C9:C13" si="0">VLOOKUP(A9,$B$2:$C$5,2,)</f>
        <v>60.5</v>
      </c>
      <c r="D9">
        <f t="shared" ref="D9:D13" si="1">VLOOKUP(B9,$B$2:$C$5,2,)</f>
        <v>100.175</v>
      </c>
      <c r="E9">
        <f t="shared" ref="E9:E13" si="2">C9-D9</f>
        <v>-39.674999999999997</v>
      </c>
      <c r="F9">
        <v>5</v>
      </c>
      <c r="G9">
        <v>4</v>
      </c>
      <c r="H9" s="9">
        <f t="shared" ref="H9:H13" si="3">SQRT($F$2*(1/F9+1/G9))</f>
        <v>1.9675937080606867</v>
      </c>
      <c r="I9">
        <f t="shared" ref="I9:I13" si="4">$M$5*SQRT($F$2/$F$5)</f>
        <v>5.3518548859250679</v>
      </c>
    </row>
    <row r="10" spans="1:13" x14ac:dyDescent="0.35">
      <c r="A10" s="42" t="s">
        <v>100</v>
      </c>
      <c r="B10" s="42" t="s">
        <v>103</v>
      </c>
      <c r="C10">
        <f t="shared" si="0"/>
        <v>60.5</v>
      </c>
      <c r="D10">
        <f t="shared" si="1"/>
        <v>86.08</v>
      </c>
      <c r="E10">
        <f t="shared" si="2"/>
        <v>-25.58</v>
      </c>
      <c r="F10">
        <v>5</v>
      </c>
      <c r="G10">
        <v>5</v>
      </c>
      <c r="H10" s="9">
        <f t="shared" si="3"/>
        <v>1.8550651381195942</v>
      </c>
      <c r="I10">
        <f t="shared" si="4"/>
        <v>5.3518548859250679</v>
      </c>
    </row>
    <row r="11" spans="1:13" x14ac:dyDescent="0.35">
      <c r="A11" s="42" t="s">
        <v>101</v>
      </c>
      <c r="B11" s="42" t="s">
        <v>102</v>
      </c>
      <c r="C11">
        <f t="shared" si="0"/>
        <v>69.140000000000015</v>
      </c>
      <c r="D11">
        <f t="shared" si="1"/>
        <v>100.175</v>
      </c>
      <c r="E11">
        <f t="shared" si="2"/>
        <v>-31.034999999999982</v>
      </c>
      <c r="F11">
        <v>5</v>
      </c>
      <c r="G11">
        <v>4</v>
      </c>
      <c r="H11" s="9">
        <f t="shared" si="3"/>
        <v>1.9675937080606867</v>
      </c>
      <c r="I11">
        <f t="shared" si="4"/>
        <v>5.3518548859250679</v>
      </c>
    </row>
    <row r="12" spans="1:13" x14ac:dyDescent="0.35">
      <c r="A12" s="42" t="s">
        <v>101</v>
      </c>
      <c r="B12" s="42" t="s">
        <v>103</v>
      </c>
      <c r="C12">
        <f t="shared" si="0"/>
        <v>69.140000000000015</v>
      </c>
      <c r="D12">
        <f t="shared" si="1"/>
        <v>86.08</v>
      </c>
      <c r="E12">
        <f t="shared" si="2"/>
        <v>-16.939999999999984</v>
      </c>
      <c r="F12">
        <v>5</v>
      </c>
      <c r="G12">
        <v>5</v>
      </c>
      <c r="H12" s="9">
        <f t="shared" si="3"/>
        <v>1.8550651381195942</v>
      </c>
      <c r="I12">
        <f t="shared" si="4"/>
        <v>5.3518548859250679</v>
      </c>
    </row>
    <row r="13" spans="1:13" x14ac:dyDescent="0.35">
      <c r="A13" s="42" t="s">
        <v>102</v>
      </c>
      <c r="B13" s="42" t="s">
        <v>103</v>
      </c>
      <c r="C13">
        <f t="shared" si="0"/>
        <v>100.175</v>
      </c>
      <c r="D13">
        <f t="shared" si="1"/>
        <v>86.08</v>
      </c>
      <c r="E13">
        <f t="shared" si="2"/>
        <v>14.094999999999999</v>
      </c>
      <c r="F13">
        <v>4</v>
      </c>
      <c r="G13">
        <v>5</v>
      </c>
      <c r="H13" s="9">
        <f t="shared" si="3"/>
        <v>1.9675937080606867</v>
      </c>
      <c r="I13">
        <f t="shared" si="4"/>
        <v>5.3518548859250679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3817EA-9732-400A-AA97-38BAB6DB765E}">
  <dimension ref="A1"/>
  <sheetViews>
    <sheetView workbookViewId="0">
      <selection activeCell="I37" sqref="I37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F3424F-8E33-436F-88A5-B8F36BB1A855}">
  <dimension ref="A1:M71"/>
  <sheetViews>
    <sheetView zoomScale="70" zoomScaleNormal="70" workbookViewId="0">
      <selection activeCell="J28" sqref="J28"/>
    </sheetView>
  </sheetViews>
  <sheetFormatPr defaultRowHeight="14.5" x14ac:dyDescent="0.35"/>
  <cols>
    <col min="4" max="4" width="11.08984375" customWidth="1"/>
    <col min="5" max="5" width="10.6328125" customWidth="1"/>
    <col min="6" max="6" width="11.81640625" bestFit="1" customWidth="1"/>
    <col min="9" max="9" width="16.1796875" bestFit="1" customWidth="1"/>
    <col min="11" max="11" width="13.6328125" bestFit="1" customWidth="1"/>
  </cols>
  <sheetData>
    <row r="1" spans="1:6" x14ac:dyDescent="0.35">
      <c r="A1" s="155" t="s">
        <v>144</v>
      </c>
      <c r="B1" s="156" t="s">
        <v>145</v>
      </c>
      <c r="C1" s="156"/>
      <c r="D1" s="156"/>
      <c r="E1" s="156"/>
      <c r="F1" s="156"/>
    </row>
    <row r="2" spans="1:6" x14ac:dyDescent="0.35">
      <c r="A2" s="155"/>
      <c r="B2" s="52">
        <v>15</v>
      </c>
      <c r="C2" s="52">
        <v>20</v>
      </c>
      <c r="D2" s="52">
        <v>25</v>
      </c>
      <c r="E2" s="52">
        <v>30</v>
      </c>
      <c r="F2" s="52">
        <v>35</v>
      </c>
    </row>
    <row r="3" spans="1:6" x14ac:dyDescent="0.35">
      <c r="A3" s="109">
        <v>1</v>
      </c>
      <c r="B3" s="42">
        <v>7</v>
      </c>
      <c r="C3" s="42">
        <v>12</v>
      </c>
      <c r="D3" s="42">
        <v>14</v>
      </c>
      <c r="E3" s="42">
        <v>19</v>
      </c>
      <c r="F3" s="42">
        <v>7</v>
      </c>
    </row>
    <row r="4" spans="1:6" x14ac:dyDescent="0.35">
      <c r="A4" s="109">
        <v>2</v>
      </c>
      <c r="B4" s="42">
        <v>7</v>
      </c>
      <c r="C4" s="42">
        <v>17</v>
      </c>
      <c r="D4" s="42">
        <v>18</v>
      </c>
      <c r="E4" s="42">
        <v>25</v>
      </c>
      <c r="F4" s="42">
        <v>10</v>
      </c>
    </row>
    <row r="5" spans="1:6" x14ac:dyDescent="0.35">
      <c r="A5" s="109">
        <v>3</v>
      </c>
      <c r="B5" s="42">
        <v>15</v>
      </c>
      <c r="C5" s="42">
        <v>12</v>
      </c>
      <c r="D5" s="42">
        <v>18</v>
      </c>
      <c r="E5" s="42">
        <v>22</v>
      </c>
      <c r="F5" s="42">
        <v>11</v>
      </c>
    </row>
    <row r="6" spans="1:6" x14ac:dyDescent="0.35">
      <c r="A6" s="109">
        <v>4</v>
      </c>
      <c r="B6" s="42">
        <v>11</v>
      </c>
      <c r="C6" s="42">
        <v>18</v>
      </c>
      <c r="D6" s="42">
        <v>19</v>
      </c>
      <c r="E6" s="42">
        <v>19</v>
      </c>
      <c r="F6" s="42">
        <v>15</v>
      </c>
    </row>
    <row r="7" spans="1:6" x14ac:dyDescent="0.35">
      <c r="A7" s="109">
        <v>5</v>
      </c>
      <c r="B7" s="42">
        <v>9</v>
      </c>
      <c r="C7" s="42">
        <v>18</v>
      </c>
      <c r="D7" s="42">
        <v>19</v>
      </c>
      <c r="E7" s="42">
        <v>23</v>
      </c>
      <c r="F7" s="42">
        <v>11</v>
      </c>
    </row>
    <row r="10" spans="1:6" x14ac:dyDescent="0.35">
      <c r="A10" t="s">
        <v>112</v>
      </c>
    </row>
    <row r="12" spans="1:6" ht="15" thickBot="1" x14ac:dyDescent="0.4">
      <c r="A12" t="s">
        <v>18</v>
      </c>
    </row>
    <row r="13" spans="1:6" x14ac:dyDescent="0.35">
      <c r="A13" s="5" t="s">
        <v>113</v>
      </c>
      <c r="B13" s="5" t="s">
        <v>19</v>
      </c>
      <c r="C13" s="5" t="s">
        <v>20</v>
      </c>
      <c r="D13" s="5" t="s">
        <v>21</v>
      </c>
      <c r="E13" s="5" t="s">
        <v>22</v>
      </c>
    </row>
    <row r="14" spans="1:6" x14ac:dyDescent="0.35">
      <c r="A14" s="3">
        <v>15</v>
      </c>
      <c r="B14" s="3">
        <v>5</v>
      </c>
      <c r="C14" s="3">
        <v>49</v>
      </c>
      <c r="D14" s="60">
        <v>9.8000000000000007</v>
      </c>
      <c r="E14" s="3">
        <v>11.200000000000003</v>
      </c>
    </row>
    <row r="15" spans="1:6" x14ac:dyDescent="0.35">
      <c r="A15" s="3">
        <v>20</v>
      </c>
      <c r="B15" s="3">
        <v>5</v>
      </c>
      <c r="C15" s="3">
        <v>77</v>
      </c>
      <c r="D15" s="60">
        <v>15.4</v>
      </c>
      <c r="E15" s="3">
        <v>9.8000000000000114</v>
      </c>
    </row>
    <row r="16" spans="1:6" x14ac:dyDescent="0.35">
      <c r="A16" s="3">
        <v>25</v>
      </c>
      <c r="B16" s="3">
        <v>5</v>
      </c>
      <c r="C16" s="3">
        <v>88</v>
      </c>
      <c r="D16" s="60">
        <v>17.600000000000001</v>
      </c>
      <c r="E16" s="3">
        <v>4.3000000000000114</v>
      </c>
    </row>
    <row r="17" spans="1:12" x14ac:dyDescent="0.35">
      <c r="A17" s="3">
        <v>30</v>
      </c>
      <c r="B17" s="3">
        <v>5</v>
      </c>
      <c r="C17" s="3">
        <v>108</v>
      </c>
      <c r="D17" s="60">
        <v>21.6</v>
      </c>
      <c r="E17" s="3">
        <v>6.7999999999999545</v>
      </c>
    </row>
    <row r="18" spans="1:12" ht="15" thickBot="1" x14ac:dyDescent="0.4">
      <c r="A18" s="4">
        <v>35</v>
      </c>
      <c r="B18" s="4">
        <v>5</v>
      </c>
      <c r="C18" s="4">
        <v>54</v>
      </c>
      <c r="D18" s="110">
        <v>10.8</v>
      </c>
      <c r="E18" s="4">
        <v>8.1999999999999886</v>
      </c>
    </row>
    <row r="21" spans="1:12" ht="15" thickBot="1" x14ac:dyDescent="0.4">
      <c r="A21" t="s">
        <v>31</v>
      </c>
    </row>
    <row r="22" spans="1:12" x14ac:dyDescent="0.35">
      <c r="A22" s="5" t="s">
        <v>32</v>
      </c>
      <c r="B22" s="5" t="s">
        <v>33</v>
      </c>
      <c r="C22" s="5" t="s">
        <v>34</v>
      </c>
      <c r="D22" s="5" t="s">
        <v>35</v>
      </c>
      <c r="E22" s="5" t="s">
        <v>13</v>
      </c>
      <c r="F22" s="5" t="s">
        <v>36</v>
      </c>
      <c r="G22" s="5" t="s">
        <v>37</v>
      </c>
    </row>
    <row r="23" spans="1:12" x14ac:dyDescent="0.35">
      <c r="A23" s="3" t="s">
        <v>114</v>
      </c>
      <c r="B23" s="3">
        <v>475.75999999999993</v>
      </c>
      <c r="C23" s="3">
        <v>4</v>
      </c>
      <c r="D23" s="3">
        <v>118.93999999999998</v>
      </c>
      <c r="E23" s="3">
        <v>14.756823821339951</v>
      </c>
      <c r="F23" s="56">
        <v>9.1279371240584418E-6</v>
      </c>
      <c r="G23" s="3">
        <v>2.8660814020156589</v>
      </c>
      <c r="H23" t="s">
        <v>146</v>
      </c>
    </row>
    <row r="24" spans="1:12" x14ac:dyDescent="0.35">
      <c r="A24" s="3" t="s">
        <v>115</v>
      </c>
      <c r="B24" s="3">
        <v>161.19999999999999</v>
      </c>
      <c r="C24" s="3">
        <v>20</v>
      </c>
      <c r="D24" s="56">
        <v>8.0599999999999987</v>
      </c>
      <c r="E24" s="3"/>
      <c r="F24" s="3"/>
      <c r="G24" s="3"/>
    </row>
    <row r="25" spans="1:12" x14ac:dyDescent="0.35">
      <c r="A25" s="3"/>
      <c r="B25" s="3"/>
      <c r="C25" s="3"/>
      <c r="D25" s="3"/>
      <c r="E25" s="3"/>
      <c r="F25" s="3"/>
      <c r="G25" s="3"/>
    </row>
    <row r="26" spans="1:12" ht="15" thickBot="1" x14ac:dyDescent="0.4">
      <c r="A26" s="4" t="s">
        <v>8</v>
      </c>
      <c r="B26" s="4">
        <v>636.95999999999992</v>
      </c>
      <c r="C26" s="4">
        <v>24</v>
      </c>
      <c r="D26" s="4"/>
      <c r="E26" s="4"/>
      <c r="F26" s="4"/>
      <c r="G26" s="4"/>
    </row>
    <row r="30" spans="1:12" x14ac:dyDescent="0.35">
      <c r="A30" s="109" t="s">
        <v>118</v>
      </c>
      <c r="B30" s="109" t="s">
        <v>147</v>
      </c>
      <c r="D30" s="109" t="s">
        <v>51</v>
      </c>
      <c r="E30">
        <f>D24</f>
        <v>8.0599999999999987</v>
      </c>
      <c r="G30" s="109" t="s">
        <v>139</v>
      </c>
      <c r="H30">
        <v>0.05</v>
      </c>
    </row>
    <row r="31" spans="1:12" x14ac:dyDescent="0.35">
      <c r="A31" s="3">
        <v>15</v>
      </c>
      <c r="B31">
        <v>9.8000000000000007</v>
      </c>
      <c r="D31" s="109" t="s">
        <v>127</v>
      </c>
      <c r="E31">
        <v>5</v>
      </c>
      <c r="L31">
        <v>4.33</v>
      </c>
    </row>
    <row r="32" spans="1:12" x14ac:dyDescent="0.35">
      <c r="A32" s="3">
        <v>20</v>
      </c>
      <c r="B32">
        <v>15.4</v>
      </c>
      <c r="D32" s="109" t="s">
        <v>126</v>
      </c>
      <c r="E32">
        <v>25</v>
      </c>
    </row>
    <row r="33" spans="1:11" x14ac:dyDescent="0.35">
      <c r="A33" s="3">
        <v>25</v>
      </c>
      <c r="B33">
        <v>17.600000000000001</v>
      </c>
    </row>
    <row r="34" spans="1:11" x14ac:dyDescent="0.35">
      <c r="A34" s="3">
        <v>30</v>
      </c>
      <c r="B34">
        <v>21.6</v>
      </c>
    </row>
    <row r="35" spans="1:11" x14ac:dyDescent="0.35">
      <c r="A35" s="3">
        <v>35</v>
      </c>
      <c r="B35">
        <v>10.8</v>
      </c>
    </row>
    <row r="37" spans="1:11" x14ac:dyDescent="0.35">
      <c r="A37" s="64" t="s">
        <v>132</v>
      </c>
      <c r="B37" s="64" t="s">
        <v>133</v>
      </c>
      <c r="C37" s="64" t="s">
        <v>58</v>
      </c>
      <c r="D37" s="64" t="s">
        <v>59</v>
      </c>
      <c r="E37" s="64" t="s">
        <v>60</v>
      </c>
      <c r="F37" s="64" t="s">
        <v>134</v>
      </c>
      <c r="G37" s="64" t="s">
        <v>135</v>
      </c>
      <c r="H37" s="64" t="s">
        <v>63</v>
      </c>
      <c r="I37" s="64" t="s">
        <v>136</v>
      </c>
      <c r="J37" s="64" t="s">
        <v>137</v>
      </c>
      <c r="K37" s="64" t="s">
        <v>138</v>
      </c>
    </row>
    <row r="38" spans="1:11" x14ac:dyDescent="0.35">
      <c r="A38" s="3">
        <v>15</v>
      </c>
      <c r="B38" s="3">
        <v>20</v>
      </c>
      <c r="C38">
        <f>VLOOKUP(A38,$A$31:$B$35,2,)</f>
        <v>9.8000000000000007</v>
      </c>
      <c r="D38">
        <f>VLOOKUP(B38,$A$31:$B$35,2,)</f>
        <v>15.4</v>
      </c>
      <c r="E38">
        <f>C38-D38</f>
        <v>-5.6</v>
      </c>
      <c r="F38">
        <v>5</v>
      </c>
      <c r="G38">
        <v>5</v>
      </c>
      <c r="H38" s="9">
        <f>SQRT($E$30*(1/F38+1/G38))</f>
        <v>1.7955500549970751</v>
      </c>
      <c r="I38" s="9">
        <f>E38/H38</f>
        <v>-3.1188214354787909</v>
      </c>
      <c r="J38" s="103">
        <f>SQRT(($E$31-1)*_xlfn.F.INV.RT($H$30,$E$31-1,$E$32-$E$31))</f>
        <v>3.3859010038780868</v>
      </c>
      <c r="K38" s="42" t="str">
        <f>IF(ABS(I38)&gt;J38,"Rechazar H0","No rechazar H0")</f>
        <v>No rechazar H0</v>
      </c>
    </row>
    <row r="39" spans="1:11" x14ac:dyDescent="0.35">
      <c r="A39" s="3">
        <v>15</v>
      </c>
      <c r="B39" s="3">
        <v>25</v>
      </c>
      <c r="C39">
        <f t="shared" ref="C39:D47" si="0">VLOOKUP(A39,$A$31:$B$35,2,)</f>
        <v>9.8000000000000007</v>
      </c>
      <c r="D39">
        <f t="shared" si="0"/>
        <v>17.600000000000001</v>
      </c>
      <c r="E39">
        <f t="shared" ref="E39:E47" si="1">C39-D39</f>
        <v>-7.8000000000000007</v>
      </c>
      <c r="F39">
        <v>5</v>
      </c>
      <c r="G39">
        <v>5</v>
      </c>
      <c r="H39" s="9">
        <f t="shared" ref="H39:H47" si="2">SQRT($E$30*(1/F39+1/G39))</f>
        <v>1.7955500549970751</v>
      </c>
      <c r="I39" s="9">
        <f t="shared" ref="I39:I47" si="3">E39/H39</f>
        <v>-4.3440727137026025</v>
      </c>
      <c r="J39" s="103">
        <f t="shared" ref="J39:J47" si="4">SQRT(($E$31-1)*_xlfn.F.INV.RT($H$30,$E$31-1,$E$32-$E$31))</f>
        <v>3.3859010038780868</v>
      </c>
      <c r="K39" s="42" t="str">
        <f t="shared" ref="K39:K47" si="5">IF(ABS(I39)&gt;J39,"Rechazar H0","No rechazar H0")</f>
        <v>Rechazar H0</v>
      </c>
    </row>
    <row r="40" spans="1:11" x14ac:dyDescent="0.35">
      <c r="A40" s="3">
        <v>15</v>
      </c>
      <c r="B40" s="3">
        <v>30</v>
      </c>
      <c r="C40">
        <f t="shared" si="0"/>
        <v>9.8000000000000007</v>
      </c>
      <c r="D40">
        <f t="shared" si="0"/>
        <v>21.6</v>
      </c>
      <c r="E40">
        <f t="shared" si="1"/>
        <v>-11.8</v>
      </c>
      <c r="F40">
        <v>5</v>
      </c>
      <c r="G40">
        <v>5</v>
      </c>
      <c r="H40" s="9">
        <f t="shared" si="2"/>
        <v>1.7955500549970751</v>
      </c>
      <c r="I40" s="9">
        <f t="shared" si="3"/>
        <v>-6.5718023104731671</v>
      </c>
      <c r="J40" s="103">
        <f t="shared" si="4"/>
        <v>3.3859010038780868</v>
      </c>
      <c r="K40" s="42" t="str">
        <f t="shared" si="5"/>
        <v>Rechazar H0</v>
      </c>
    </row>
    <row r="41" spans="1:11" x14ac:dyDescent="0.35">
      <c r="A41" s="3">
        <v>15</v>
      </c>
      <c r="B41" s="3">
        <v>35</v>
      </c>
      <c r="C41">
        <f t="shared" si="0"/>
        <v>9.8000000000000007</v>
      </c>
      <c r="D41">
        <f t="shared" si="0"/>
        <v>10.8</v>
      </c>
      <c r="E41">
        <f t="shared" si="1"/>
        <v>-1</v>
      </c>
      <c r="F41">
        <v>5</v>
      </c>
      <c r="G41">
        <v>5</v>
      </c>
      <c r="H41" s="9">
        <f t="shared" si="2"/>
        <v>1.7955500549970751</v>
      </c>
      <c r="I41" s="9">
        <f t="shared" si="3"/>
        <v>-0.55693239919264126</v>
      </c>
      <c r="J41" s="103">
        <f t="shared" si="4"/>
        <v>3.3859010038780868</v>
      </c>
      <c r="K41" s="42" t="str">
        <f t="shared" si="5"/>
        <v>No rechazar H0</v>
      </c>
    </row>
    <row r="42" spans="1:11" x14ac:dyDescent="0.35">
      <c r="A42" s="3">
        <v>20</v>
      </c>
      <c r="B42" s="3">
        <v>25</v>
      </c>
      <c r="C42">
        <f t="shared" si="0"/>
        <v>15.4</v>
      </c>
      <c r="D42">
        <f t="shared" si="0"/>
        <v>17.600000000000001</v>
      </c>
      <c r="E42">
        <f t="shared" si="1"/>
        <v>-2.2000000000000011</v>
      </c>
      <c r="F42">
        <v>5</v>
      </c>
      <c r="G42">
        <v>5</v>
      </c>
      <c r="H42" s="9">
        <f t="shared" si="2"/>
        <v>1.7955500549970751</v>
      </c>
      <c r="I42" s="9">
        <f t="shared" si="3"/>
        <v>-1.2252512782238114</v>
      </c>
      <c r="J42" s="103">
        <f t="shared" si="4"/>
        <v>3.3859010038780868</v>
      </c>
      <c r="K42" s="42" t="str">
        <f t="shared" si="5"/>
        <v>No rechazar H0</v>
      </c>
    </row>
    <row r="43" spans="1:11" x14ac:dyDescent="0.35">
      <c r="A43" s="3">
        <v>20</v>
      </c>
      <c r="B43" s="3">
        <v>30</v>
      </c>
      <c r="C43">
        <f t="shared" si="0"/>
        <v>15.4</v>
      </c>
      <c r="D43">
        <f t="shared" si="0"/>
        <v>21.6</v>
      </c>
      <c r="E43">
        <f t="shared" si="1"/>
        <v>-6.2000000000000011</v>
      </c>
      <c r="F43">
        <v>5</v>
      </c>
      <c r="G43">
        <v>5</v>
      </c>
      <c r="H43" s="9">
        <f t="shared" si="2"/>
        <v>1.7955500549970751</v>
      </c>
      <c r="I43" s="9">
        <f t="shared" si="3"/>
        <v>-3.4529808749943762</v>
      </c>
      <c r="J43" s="103">
        <f t="shared" si="4"/>
        <v>3.3859010038780868</v>
      </c>
      <c r="K43" s="42" t="str">
        <f t="shared" si="5"/>
        <v>Rechazar H0</v>
      </c>
    </row>
    <row r="44" spans="1:11" x14ac:dyDescent="0.35">
      <c r="A44" s="3">
        <v>20</v>
      </c>
      <c r="B44" s="3">
        <v>35</v>
      </c>
      <c r="C44">
        <f t="shared" si="0"/>
        <v>15.4</v>
      </c>
      <c r="D44">
        <f t="shared" si="0"/>
        <v>10.8</v>
      </c>
      <c r="E44">
        <f t="shared" si="1"/>
        <v>4.5999999999999996</v>
      </c>
      <c r="F44">
        <v>5</v>
      </c>
      <c r="G44">
        <v>5</v>
      </c>
      <c r="H44" s="9">
        <f t="shared" si="2"/>
        <v>1.7955500549970751</v>
      </c>
      <c r="I44" s="9">
        <f t="shared" si="3"/>
        <v>2.5618890362861495</v>
      </c>
      <c r="J44" s="103">
        <f t="shared" si="4"/>
        <v>3.3859010038780868</v>
      </c>
      <c r="K44" s="42" t="str">
        <f t="shared" si="5"/>
        <v>No rechazar H0</v>
      </c>
    </row>
    <row r="45" spans="1:11" x14ac:dyDescent="0.35">
      <c r="A45" s="3">
        <v>25</v>
      </c>
      <c r="B45" s="3">
        <v>30</v>
      </c>
      <c r="C45">
        <f t="shared" si="0"/>
        <v>17.600000000000001</v>
      </c>
      <c r="D45">
        <f t="shared" si="0"/>
        <v>21.6</v>
      </c>
      <c r="E45">
        <f t="shared" si="1"/>
        <v>-4</v>
      </c>
      <c r="F45">
        <v>5</v>
      </c>
      <c r="G45">
        <v>5</v>
      </c>
      <c r="H45" s="9">
        <f t="shared" si="2"/>
        <v>1.7955500549970751</v>
      </c>
      <c r="I45" s="9">
        <f t="shared" si="3"/>
        <v>-2.227729596770565</v>
      </c>
      <c r="J45" s="103">
        <f t="shared" si="4"/>
        <v>3.3859010038780868</v>
      </c>
      <c r="K45" s="42" t="str">
        <f t="shared" si="5"/>
        <v>No rechazar H0</v>
      </c>
    </row>
    <row r="46" spans="1:11" x14ac:dyDescent="0.35">
      <c r="A46" s="3">
        <v>25</v>
      </c>
      <c r="B46" s="3">
        <v>35</v>
      </c>
      <c r="C46">
        <f t="shared" si="0"/>
        <v>17.600000000000001</v>
      </c>
      <c r="D46">
        <f t="shared" si="0"/>
        <v>10.8</v>
      </c>
      <c r="E46">
        <f t="shared" si="1"/>
        <v>6.8000000000000007</v>
      </c>
      <c r="F46">
        <v>5</v>
      </c>
      <c r="G46">
        <v>5</v>
      </c>
      <c r="H46" s="9">
        <f t="shared" si="2"/>
        <v>1.7955500549970751</v>
      </c>
      <c r="I46" s="9">
        <f t="shared" si="3"/>
        <v>3.7871403145099611</v>
      </c>
      <c r="J46" s="103">
        <f t="shared" si="4"/>
        <v>3.3859010038780868</v>
      </c>
      <c r="K46" s="42" t="str">
        <f t="shared" si="5"/>
        <v>Rechazar H0</v>
      </c>
    </row>
    <row r="47" spans="1:11" x14ac:dyDescent="0.35">
      <c r="A47" s="3">
        <v>30</v>
      </c>
      <c r="B47" s="3">
        <v>35</v>
      </c>
      <c r="C47">
        <f t="shared" si="0"/>
        <v>21.6</v>
      </c>
      <c r="D47">
        <f t="shared" si="0"/>
        <v>10.8</v>
      </c>
      <c r="E47">
        <f t="shared" si="1"/>
        <v>10.8</v>
      </c>
      <c r="F47">
        <v>5</v>
      </c>
      <c r="G47">
        <v>5</v>
      </c>
      <c r="H47" s="9">
        <f t="shared" si="2"/>
        <v>1.7955500549970751</v>
      </c>
      <c r="I47" s="9">
        <f t="shared" si="3"/>
        <v>6.0148699112805257</v>
      </c>
      <c r="J47" s="103">
        <f t="shared" si="4"/>
        <v>3.3859010038780868</v>
      </c>
      <c r="K47" s="42" t="str">
        <f t="shared" si="5"/>
        <v>Rechazar H0</v>
      </c>
    </row>
    <row r="51" spans="1:13" x14ac:dyDescent="0.35">
      <c r="A51" s="64" t="s">
        <v>132</v>
      </c>
      <c r="B51" s="64" t="s">
        <v>133</v>
      </c>
      <c r="C51" s="64" t="s">
        <v>60</v>
      </c>
      <c r="D51" s="64" t="s">
        <v>63</v>
      </c>
      <c r="E51" s="64" t="s">
        <v>137</v>
      </c>
      <c r="F51" s="107" t="s">
        <v>148</v>
      </c>
      <c r="G51" s="107" t="s">
        <v>149</v>
      </c>
      <c r="H51" s="107" t="s">
        <v>150</v>
      </c>
    </row>
    <row r="52" spans="1:13" x14ac:dyDescent="0.35">
      <c r="A52" s="3">
        <v>15</v>
      </c>
      <c r="B52" s="3">
        <v>20</v>
      </c>
      <c r="C52">
        <v>-5.6</v>
      </c>
      <c r="D52" s="2">
        <v>1.7955500549970751</v>
      </c>
      <c r="E52" s="2">
        <v>3.3859010038780868</v>
      </c>
      <c r="F52">
        <f>D52*E52</f>
        <v>6.0795547337279503</v>
      </c>
      <c r="G52">
        <f>C52-F52</f>
        <v>-11.679554733727951</v>
      </c>
      <c r="H52">
        <f>C52+F52</f>
        <v>0.47955473372795066</v>
      </c>
      <c r="I52" s="42" t="str">
        <f>IF(G52*H52&gt;0,"Rechazar H0","No rechazar H0")</f>
        <v>No rechazar H0</v>
      </c>
      <c r="K52" t="s">
        <v>152</v>
      </c>
      <c r="M52" t="s">
        <v>153</v>
      </c>
    </row>
    <row r="53" spans="1:13" x14ac:dyDescent="0.35">
      <c r="A53" s="3">
        <v>15</v>
      </c>
      <c r="B53" s="3">
        <v>25</v>
      </c>
      <c r="C53">
        <v>-7.8000000000000007</v>
      </c>
      <c r="D53" s="2">
        <v>1.7955500549970751</v>
      </c>
      <c r="E53" s="2">
        <v>3.3859010038780868</v>
      </c>
      <c r="F53">
        <f t="shared" ref="F53:F61" si="6">D53*E53</f>
        <v>6.0795547337279503</v>
      </c>
      <c r="G53">
        <f t="shared" ref="G53:G61" si="7">C53-F53</f>
        <v>-13.87955473372795</v>
      </c>
      <c r="H53">
        <f t="shared" ref="H53:H61" si="8">C53+F53</f>
        <v>-1.7204452662720504</v>
      </c>
      <c r="I53" s="42" t="str">
        <f t="shared" ref="I53:I61" si="9">IF(G53*H53&gt;0,"Rechazar H0","No rechazar H0")</f>
        <v>Rechazar H0</v>
      </c>
      <c r="K53">
        <v>15</v>
      </c>
      <c r="M53">
        <v>25</v>
      </c>
    </row>
    <row r="54" spans="1:13" x14ac:dyDescent="0.35">
      <c r="A54" s="3">
        <v>15</v>
      </c>
      <c r="B54" s="3">
        <v>30</v>
      </c>
      <c r="C54">
        <v>-11.8</v>
      </c>
      <c r="D54" s="2">
        <v>1.7955500549970751</v>
      </c>
      <c r="E54" s="2">
        <v>3.3859010038780868</v>
      </c>
      <c r="F54">
        <f t="shared" si="6"/>
        <v>6.0795547337279503</v>
      </c>
      <c r="G54">
        <f t="shared" si="7"/>
        <v>-17.87955473372795</v>
      </c>
      <c r="H54">
        <f t="shared" si="8"/>
        <v>-5.7204452662720504</v>
      </c>
      <c r="I54" s="42" t="str">
        <f t="shared" si="9"/>
        <v>Rechazar H0</v>
      </c>
      <c r="K54">
        <v>35</v>
      </c>
      <c r="M54">
        <v>30</v>
      </c>
    </row>
    <row r="55" spans="1:13" x14ac:dyDescent="0.35">
      <c r="A55" s="3">
        <v>15</v>
      </c>
      <c r="B55" s="3">
        <v>35</v>
      </c>
      <c r="C55">
        <v>-1</v>
      </c>
      <c r="D55" s="2">
        <v>1.7955500549970751</v>
      </c>
      <c r="E55" s="2">
        <v>3.3859010038780868</v>
      </c>
      <c r="F55">
        <f t="shared" si="6"/>
        <v>6.0795547337279503</v>
      </c>
      <c r="G55">
        <f t="shared" si="7"/>
        <v>-7.0795547337279503</v>
      </c>
      <c r="H55">
        <f t="shared" si="8"/>
        <v>5.0795547337279503</v>
      </c>
      <c r="I55" s="42" t="str">
        <f t="shared" si="9"/>
        <v>No rechazar H0</v>
      </c>
      <c r="K55">
        <v>20</v>
      </c>
    </row>
    <row r="56" spans="1:13" x14ac:dyDescent="0.35">
      <c r="A56" s="3">
        <v>20</v>
      </c>
      <c r="B56" s="3">
        <v>25</v>
      </c>
      <c r="C56">
        <v>-2.2000000000000011</v>
      </c>
      <c r="D56" s="2">
        <v>1.7955500549970751</v>
      </c>
      <c r="E56" s="2">
        <v>3.3859010038780868</v>
      </c>
      <c r="F56">
        <f t="shared" si="6"/>
        <v>6.0795547337279503</v>
      </c>
      <c r="G56">
        <f t="shared" si="7"/>
        <v>-8.2795547337279523</v>
      </c>
      <c r="H56">
        <f t="shared" si="8"/>
        <v>3.8795547337279492</v>
      </c>
      <c r="I56" s="42" t="str">
        <f t="shared" si="9"/>
        <v>No rechazar H0</v>
      </c>
    </row>
    <row r="57" spans="1:13" x14ac:dyDescent="0.35">
      <c r="A57" s="3">
        <v>20</v>
      </c>
      <c r="B57" s="3">
        <v>30</v>
      </c>
      <c r="C57">
        <v>-6.2000000000000011</v>
      </c>
      <c r="D57" s="2">
        <v>1.7955500549970751</v>
      </c>
      <c r="E57" s="2">
        <v>3.3859010038780868</v>
      </c>
      <c r="F57">
        <f t="shared" si="6"/>
        <v>6.0795547337279503</v>
      </c>
      <c r="G57">
        <f t="shared" si="7"/>
        <v>-12.279554733727952</v>
      </c>
      <c r="H57">
        <f t="shared" si="8"/>
        <v>-0.12044526627205077</v>
      </c>
      <c r="I57" s="42" t="str">
        <f t="shared" si="9"/>
        <v>Rechazar H0</v>
      </c>
    </row>
    <row r="58" spans="1:13" x14ac:dyDescent="0.35">
      <c r="A58" s="3">
        <v>20</v>
      </c>
      <c r="B58" s="3">
        <v>35</v>
      </c>
      <c r="C58">
        <v>4.5999999999999996</v>
      </c>
      <c r="D58" s="2">
        <v>1.7955500549970751</v>
      </c>
      <c r="E58" s="2">
        <v>3.3859010038780868</v>
      </c>
      <c r="F58">
        <f t="shared" si="6"/>
        <v>6.0795547337279503</v>
      </c>
      <c r="G58">
        <f t="shared" si="7"/>
        <v>-1.4795547337279507</v>
      </c>
      <c r="H58">
        <f t="shared" si="8"/>
        <v>10.679554733727951</v>
      </c>
      <c r="I58" s="42" t="str">
        <f t="shared" si="9"/>
        <v>No rechazar H0</v>
      </c>
    </row>
    <row r="59" spans="1:13" x14ac:dyDescent="0.35">
      <c r="A59" s="3">
        <v>25</v>
      </c>
      <c r="B59" s="3">
        <v>30</v>
      </c>
      <c r="C59">
        <v>-4</v>
      </c>
      <c r="D59" s="2">
        <v>1.7955500549970751</v>
      </c>
      <c r="E59" s="2">
        <v>3.3859010038780868</v>
      </c>
      <c r="F59">
        <f t="shared" si="6"/>
        <v>6.0795547337279503</v>
      </c>
      <c r="G59">
        <f t="shared" si="7"/>
        <v>-10.079554733727949</v>
      </c>
      <c r="H59">
        <f t="shared" si="8"/>
        <v>2.0795547337279503</v>
      </c>
      <c r="I59" s="42" t="str">
        <f t="shared" si="9"/>
        <v>No rechazar H0</v>
      </c>
    </row>
    <row r="60" spans="1:13" x14ac:dyDescent="0.35">
      <c r="A60" s="3">
        <v>25</v>
      </c>
      <c r="B60" s="3">
        <v>35</v>
      </c>
      <c r="C60">
        <v>6.8000000000000007</v>
      </c>
      <c r="D60" s="2">
        <v>1.7955500549970751</v>
      </c>
      <c r="E60" s="2">
        <v>3.3859010038780868</v>
      </c>
      <c r="F60">
        <f t="shared" si="6"/>
        <v>6.0795547337279503</v>
      </c>
      <c r="G60">
        <f t="shared" si="7"/>
        <v>0.72044526627205041</v>
      </c>
      <c r="H60">
        <f t="shared" si="8"/>
        <v>12.87955473372795</v>
      </c>
      <c r="I60" s="42" t="str">
        <f t="shared" si="9"/>
        <v>Rechazar H0</v>
      </c>
    </row>
    <row r="61" spans="1:13" x14ac:dyDescent="0.35">
      <c r="A61" s="3">
        <v>30</v>
      </c>
      <c r="B61" s="3">
        <v>35</v>
      </c>
      <c r="C61">
        <v>10.8</v>
      </c>
      <c r="D61" s="2">
        <v>1.7955500549970751</v>
      </c>
      <c r="E61" s="2">
        <v>3.3859010038780868</v>
      </c>
      <c r="F61">
        <f t="shared" si="6"/>
        <v>6.0795547337279503</v>
      </c>
      <c r="G61">
        <f t="shared" si="7"/>
        <v>4.7204452662720504</v>
      </c>
      <c r="H61">
        <f t="shared" si="8"/>
        <v>16.87955473372795</v>
      </c>
      <c r="I61" s="42" t="str">
        <f t="shared" si="9"/>
        <v>Rechazar H0</v>
      </c>
    </row>
    <row r="71" spans="6:8" x14ac:dyDescent="0.35">
      <c r="F71" s="111"/>
      <c r="H71" s="111"/>
    </row>
  </sheetData>
  <mergeCells count="2">
    <mergeCell ref="A1:A2"/>
    <mergeCell ref="B1:F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Teoria</vt:lpstr>
      <vt:lpstr>Dos factores (Sin)</vt:lpstr>
      <vt:lpstr>Scheffe (PROBAR DIF 2-2)</vt:lpstr>
      <vt:lpstr>E2</vt:lpstr>
      <vt:lpstr>Un Factor</vt:lpstr>
      <vt:lpstr>E3 (LEVENE)</vt:lpstr>
      <vt:lpstr>E3 (Tukey)</vt:lpstr>
      <vt:lpstr>E2_1Factor</vt:lpstr>
      <vt:lpstr>E2_1</vt:lpstr>
      <vt:lpstr>E2_1Levene</vt:lpstr>
      <vt:lpstr>Dos Factores (con)</vt:lpstr>
      <vt:lpstr>E1_2factores con</vt:lpstr>
      <vt:lpstr>E1_2factores con levene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actda</dc:creator>
  <cp:lastModifiedBy>actda</cp:lastModifiedBy>
  <dcterms:created xsi:type="dcterms:W3CDTF">2021-11-24T23:37:50Z</dcterms:created>
  <dcterms:modified xsi:type="dcterms:W3CDTF">2022-02-01T05:37:20Z</dcterms:modified>
</cp:coreProperties>
</file>